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P 2017 IV rebalans " sheetId="1" r:id="rId1"/>
  </sheets>
  <definedNames>
    <definedName name="_xlnm.Print_Titles" localSheetId="0">'FP 2017 IV rebalans '!$A:$E,'FP 2017 IV rebalans '!$30:$33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O24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ANEX UBACITI
</t>
        </r>
      </text>
    </comment>
  </commentList>
</comments>
</file>

<file path=xl/sharedStrings.xml><?xml version="1.0" encoding="utf-8"?>
<sst xmlns="http://schemas.openxmlformats.org/spreadsheetml/2006/main" count="474" uniqueCount="434">
  <si>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</si>
  <si>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</si>
  <si>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</si>
  <si>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</si>
  <si>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</si>
  <si>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</si>
  <si>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 xml:space="preserve">Укупно                       </t>
  </si>
  <si>
    <t>Приходи из буџета</t>
  </si>
  <si>
    <t>Сопствена средства</t>
  </si>
  <si>
    <t>Републике</t>
  </si>
  <si>
    <t>Општине</t>
  </si>
  <si>
    <t>ООСО</t>
  </si>
  <si>
    <t>I</t>
  </si>
  <si>
    <t>740000</t>
  </si>
  <si>
    <t xml:space="preserve">ПРИХОДИ ОД  ИМОВИНЕ </t>
  </si>
  <si>
    <t>Приход од имовине који припада имаоцима полиса осигурања Републике Србије</t>
  </si>
  <si>
    <t>ПРИХОДИ ОД ПРОДАЈЕ ДОБАРА И УСЛУГА</t>
  </si>
  <si>
    <t>742121**</t>
  </si>
  <si>
    <t>Приходи од услуга</t>
  </si>
  <si>
    <t>Приходи од закупа непокретности</t>
  </si>
  <si>
    <t xml:space="preserve">МЕШОВИТИ И НЕОДРЕЂЕНИ ПРИХОДИ </t>
  </si>
  <si>
    <t>Приходи од закупа</t>
  </si>
  <si>
    <t>74516*</t>
  </si>
  <si>
    <t>Остали  приходи</t>
  </si>
  <si>
    <t xml:space="preserve">Меморандумске ставке за рефундацију расхода </t>
  </si>
  <si>
    <t>II</t>
  </si>
  <si>
    <t>III</t>
  </si>
  <si>
    <t>ПРИХОДИ ИЗ БУЏЕТА</t>
  </si>
  <si>
    <t>РАСХОДИ И ИЗДАЦИ</t>
  </si>
  <si>
    <t>Група расхода</t>
  </si>
  <si>
    <t>Расходи и издаци из буџета</t>
  </si>
  <si>
    <t xml:space="preserve">ТЕКУЋИ РАСХОДИ И ИЗДАЦИ ЗА НЕФИНАНСИЈСКЕ ИМОВИНЕ </t>
  </si>
  <si>
    <t xml:space="preserve">ПЛАТЕ, ДОДАЦИ И НАКНАДЕ ЗАПОСЛЕНИХ (ЗАРАДЕ)  </t>
  </si>
  <si>
    <t>I.1.1</t>
  </si>
  <si>
    <t>ПЛАТЕ, ДОДАЦИ И НАКНАДЕ ЗАПОСЛЕНИХ</t>
  </si>
  <si>
    <t xml:space="preserve">СОЦИЈАЛНИ ДОПРИНОСИ НА ТЕРЕТ ПОСЛОДАВЦА </t>
  </si>
  <si>
    <t>НАКНАДЕ У НАТУРИ</t>
  </si>
  <si>
    <t>I.2.1</t>
  </si>
  <si>
    <t xml:space="preserve">Превоз на посао и са посла </t>
  </si>
  <si>
    <t xml:space="preserve">СОЦИЈАЛНА ДАВАЊА ЗАПОСЛЕНИМА </t>
  </si>
  <si>
    <t>Исплата накнада за време одсуствовања с посла на терет фондова</t>
  </si>
  <si>
    <t>Породиљско боловање</t>
  </si>
  <si>
    <t xml:space="preserve">Боловање преко 30 дана </t>
  </si>
  <si>
    <t>Отпремнине приликом одласка у пензију</t>
  </si>
  <si>
    <t>Помоћ у случају смрти запосленог или члана уже породице</t>
  </si>
  <si>
    <t>НАКНАДЕ ТРОШКОВА ЗА ЗАПОСЛЕНЕ</t>
  </si>
  <si>
    <t>Накнада трошкова за одвојен живот од породице</t>
  </si>
  <si>
    <t>I.4.2</t>
  </si>
  <si>
    <t>Накнаде трошкова за превоз на посао и са посла</t>
  </si>
  <si>
    <t xml:space="preserve">НАГРАДЕ ЗАПОСЛЕНИМА И ОСТАЛИ ПОСЕБНИ РАСХОДИ </t>
  </si>
  <si>
    <t>I.5.1</t>
  </si>
  <si>
    <t>Јубиларне награде запосленима</t>
  </si>
  <si>
    <t>I.5.2</t>
  </si>
  <si>
    <t>КОРИШЋЕЊЕ УСЛУГА И РОБА (1+2+3+4+5+6)</t>
  </si>
  <si>
    <t xml:space="preserve">СТАЛНИ ТРОШКОВИ </t>
  </si>
  <si>
    <t>ТРОШКОВИ ПЛАТНОГ ПРОМЕТА И БАНКАРСКИХ УСЛУГА</t>
  </si>
  <si>
    <t>II.1.1.2</t>
  </si>
  <si>
    <t>Платни промет</t>
  </si>
  <si>
    <t>Банкарске услуге</t>
  </si>
  <si>
    <t>II.1.2</t>
  </si>
  <si>
    <t>ЕНЕРГЕТСКЕ УСЛУГЕ</t>
  </si>
  <si>
    <t>II.1.2.1</t>
  </si>
  <si>
    <t>Електрична енергија</t>
  </si>
  <si>
    <t>II.1.2.2</t>
  </si>
  <si>
    <t>Природни гас</t>
  </si>
  <si>
    <t>II.1.2.3</t>
  </si>
  <si>
    <t>II.1.2.4</t>
  </si>
  <si>
    <t>Лож уље</t>
  </si>
  <si>
    <t>Централно грејање</t>
  </si>
  <si>
    <t>II.1.3</t>
  </si>
  <si>
    <t>КОМУНАЛНЕ УСЛУГЕ</t>
  </si>
  <si>
    <t>II.1.3.1</t>
  </si>
  <si>
    <t>Водовод и канализација</t>
  </si>
  <si>
    <t>II.1.3.2</t>
  </si>
  <si>
    <t>Одвоз отпада</t>
  </si>
  <si>
    <t>II.1.3.3</t>
  </si>
  <si>
    <t>II.1.4</t>
  </si>
  <si>
    <t>УСЛУГЕ КОМУНИКАЦИЈЕ</t>
  </si>
  <si>
    <t>II.1.4.1</t>
  </si>
  <si>
    <t>Телефон, телекс и телефакс</t>
  </si>
  <si>
    <t>II.1.4.2</t>
  </si>
  <si>
    <t>Услуге мобилног телефона</t>
  </si>
  <si>
    <t>II.1.4.3</t>
  </si>
  <si>
    <t>II.1.5</t>
  </si>
  <si>
    <t>ТРОШКОВИ ОСИГУРАЊА</t>
  </si>
  <si>
    <t>II.1.5.1</t>
  </si>
  <si>
    <t>Осигурање возила</t>
  </si>
  <si>
    <t>II.1.5.2</t>
  </si>
  <si>
    <t>Осигурање имовине</t>
  </si>
  <si>
    <t>II.1.5.3</t>
  </si>
  <si>
    <t>Осигурање запослених у случају несреће</t>
  </si>
  <si>
    <t>II.1.6</t>
  </si>
  <si>
    <t xml:space="preserve">ТРОШКОВИ ПУТОВАЊА </t>
  </si>
  <si>
    <t>II.2.1</t>
  </si>
  <si>
    <t>Трошкови путовања у оквиру редовног рада</t>
  </si>
  <si>
    <t xml:space="preserve">УСЛУГЕ ПО УГОВОРУ </t>
  </si>
  <si>
    <t>II.3.1</t>
  </si>
  <si>
    <t>II.3.2</t>
  </si>
  <si>
    <t>II.3.2.1</t>
  </si>
  <si>
    <t>II.3.3</t>
  </si>
  <si>
    <t>II.3.3.1</t>
  </si>
  <si>
    <t>Услуге образовања и усавршавања запослених</t>
  </si>
  <si>
    <t>II.3.3.2</t>
  </si>
  <si>
    <t>Котизација за семинаре</t>
  </si>
  <si>
    <t>II.3.4</t>
  </si>
  <si>
    <t>II.3.4.1</t>
  </si>
  <si>
    <t>Објављивање тендера и информативних огласа</t>
  </si>
  <si>
    <t>II.3.5</t>
  </si>
  <si>
    <t>II.3.6</t>
  </si>
  <si>
    <t>Репрезентација</t>
  </si>
  <si>
    <t>II.3.7</t>
  </si>
  <si>
    <t>Остале опште услуге</t>
  </si>
  <si>
    <t xml:space="preserve">СПЕЦИЈАЛИЗОВАНЕ УСЛУГЕ </t>
  </si>
  <si>
    <t>II.4.1</t>
  </si>
  <si>
    <t>II.4.1.1</t>
  </si>
  <si>
    <t>II.4.1.2</t>
  </si>
  <si>
    <t>Услуге јавног здравства - инспекција и анализа</t>
  </si>
  <si>
    <t xml:space="preserve">ТЕКУЋЕ ПОПРАВКЕ И ОДРЖАВАЊЕ </t>
  </si>
  <si>
    <t>II.5.1</t>
  </si>
  <si>
    <t>II.5.1.1</t>
  </si>
  <si>
    <t>Зидарски радови</t>
  </si>
  <si>
    <t>II.5.1.2</t>
  </si>
  <si>
    <t>Столарски радови</t>
  </si>
  <si>
    <t>II.5.1.3</t>
  </si>
  <si>
    <t>Молерски радови</t>
  </si>
  <si>
    <t>II.5.1.4</t>
  </si>
  <si>
    <t>Радови на крову</t>
  </si>
  <si>
    <t>II.5.1.5</t>
  </si>
  <si>
    <t>Радови на водоводу и канализацији</t>
  </si>
  <si>
    <t>II.5.1.6</t>
  </si>
  <si>
    <t>II.5.1.7</t>
  </si>
  <si>
    <t>Електричне инсталације</t>
  </si>
  <si>
    <t>II.5.1.8</t>
  </si>
  <si>
    <t>Остале услуге и материјали за текуће поправке и одржавање зграда</t>
  </si>
  <si>
    <t>II.5.1.9</t>
  </si>
  <si>
    <t>Текуће поправке и одржавање осталих објеката</t>
  </si>
  <si>
    <t>II.5.2</t>
  </si>
  <si>
    <t>ТЕКУЋЕ ПОПРАВКЕ И ОДРЖАВАЊЕ ОПРЕМЕ</t>
  </si>
  <si>
    <t>II.5.2.1</t>
  </si>
  <si>
    <t>Поправка и одржавање опреме за саобраћај</t>
  </si>
  <si>
    <t>II.5.2.1.1</t>
  </si>
  <si>
    <t>II.5.2.1.2</t>
  </si>
  <si>
    <t>II.5.2.2</t>
  </si>
  <si>
    <t>Текуће поправке и одржавање административне опреме</t>
  </si>
  <si>
    <t>II.5.2.2.1</t>
  </si>
  <si>
    <t>Намештај</t>
  </si>
  <si>
    <t>II.5.2.2.2</t>
  </si>
  <si>
    <t>Рачунарска опрема</t>
  </si>
  <si>
    <t>II.5.2.2.3</t>
  </si>
  <si>
    <t>Опрема за комуникацију</t>
  </si>
  <si>
    <t>II.5.2.2.4</t>
  </si>
  <si>
    <t>Електронска и фотографска опрема</t>
  </si>
  <si>
    <t>II.5.2.2.5</t>
  </si>
  <si>
    <t>Опрема за домаћинство и угоститељство</t>
  </si>
  <si>
    <t>II.5.2.2.6</t>
  </si>
  <si>
    <t>Биротехничка опрема</t>
  </si>
  <si>
    <t>II.5.2.2.7</t>
  </si>
  <si>
    <t>Текуће поправке и одржавање медицинске опреме</t>
  </si>
  <si>
    <t>Сервис стоматолошке опреме</t>
  </si>
  <si>
    <t>II.5.2.4</t>
  </si>
  <si>
    <t>Текуће поправке и одржавање лабораторијске опреме</t>
  </si>
  <si>
    <t>МАТЕРИЈАЛ</t>
  </si>
  <si>
    <t>II.6.1</t>
  </si>
  <si>
    <t>АДМИНИСТРАТИВНИ МАТЕРИЈАЛ</t>
  </si>
  <si>
    <t>II.6.1.1</t>
  </si>
  <si>
    <t>Канцеларијски материјал</t>
  </si>
  <si>
    <t>II.6.1.2</t>
  </si>
  <si>
    <t>Здравствени обрасци</t>
  </si>
  <si>
    <t>II.6.1.3</t>
  </si>
  <si>
    <t>Канцеларијски материјал за рачунарску опрему</t>
  </si>
  <si>
    <t>II.6.1.4</t>
  </si>
  <si>
    <t>II.6.2</t>
  </si>
  <si>
    <t>Материјали за образовање и усавршавање запослених -стручна литература</t>
  </si>
  <si>
    <t>II.6.3</t>
  </si>
  <si>
    <t>МАТЕРИЈАЛИ ЗА САОБРАЋАЈ</t>
  </si>
  <si>
    <t>II.6.3.1</t>
  </si>
  <si>
    <t>Бензин</t>
  </si>
  <si>
    <t>II.6.3.2</t>
  </si>
  <si>
    <t>II.6.3.3</t>
  </si>
  <si>
    <t>Дизел гориво</t>
  </si>
  <si>
    <t>II.6.3.4</t>
  </si>
  <si>
    <t>Уља и мазива</t>
  </si>
  <si>
    <t>II.6.3.5</t>
  </si>
  <si>
    <t>Ауто гуме</t>
  </si>
  <si>
    <t>Ауто делови</t>
  </si>
  <si>
    <t>II.6.4</t>
  </si>
  <si>
    <t>МЕДИЦИНСКИ И ЛАБОРАТОРИЈСКИ МАТЕРИЈАЛИ</t>
  </si>
  <si>
    <t>II.6.4.1</t>
  </si>
  <si>
    <t>Материјал за медицинске тестове</t>
  </si>
  <si>
    <t>Санитетски материјал</t>
  </si>
  <si>
    <t>Материјал за дезинфекцију</t>
  </si>
  <si>
    <t>Медицински кисеоник</t>
  </si>
  <si>
    <t>Материјал за лабораторијске тестове</t>
  </si>
  <si>
    <t xml:space="preserve">Лекови </t>
  </si>
  <si>
    <t>Лекови у ЗУ</t>
  </si>
  <si>
    <t>Соматулин, Сандостатин</t>
  </si>
  <si>
    <t>Остали медицински материјали</t>
  </si>
  <si>
    <t>Стоматолошки потрошни материјал</t>
  </si>
  <si>
    <t>II.6.5</t>
  </si>
  <si>
    <t>II.6.5.1</t>
  </si>
  <si>
    <t>Средства за оржавање хигијене</t>
  </si>
  <si>
    <t>II.6.5.2</t>
  </si>
  <si>
    <t>II.6.5.3</t>
  </si>
  <si>
    <t>Текстилни материјал</t>
  </si>
  <si>
    <t>II.6.6</t>
  </si>
  <si>
    <t>Материјали за посебне намене</t>
  </si>
  <si>
    <t>II.6.6.1</t>
  </si>
  <si>
    <t>II.6.6.2</t>
  </si>
  <si>
    <t>Резервни делови</t>
  </si>
  <si>
    <t>II.6.6.3</t>
  </si>
  <si>
    <t>Остали резервни делови</t>
  </si>
  <si>
    <t>Резервни делови за медицинску опрему</t>
  </si>
  <si>
    <t>Електро материјал</t>
  </si>
  <si>
    <t>Водоводни материјал</t>
  </si>
  <si>
    <t>Браварско лимарски материјал</t>
  </si>
  <si>
    <t>Материјал за котларницу</t>
  </si>
  <si>
    <t>Молерски материјал</t>
  </si>
  <si>
    <t>Остали технички материјал</t>
  </si>
  <si>
    <t>ОТПЛАТА КАМАТА И ТЕКУЋИ ТРОШКОВИ ЗАДУЖИВАЊА</t>
  </si>
  <si>
    <t>Казне за кашњење</t>
  </si>
  <si>
    <t>ПОРЕЗИ, ОБАВЕЗНЕ ТАКСЕ, КАЗНЕ И ПЕНАЛИ</t>
  </si>
  <si>
    <t>Регистрација возила</t>
  </si>
  <si>
    <t>Републичке таксе</t>
  </si>
  <si>
    <t>Судске таксе</t>
  </si>
  <si>
    <t>НОВЧАНЕ КАЗНЕ И ПЕНАЛИ ПО РЕШЕЊУ СУДОВА</t>
  </si>
  <si>
    <t>IV</t>
  </si>
  <si>
    <t>510000</t>
  </si>
  <si>
    <t>ОСНОВНА СРЕДСТВА</t>
  </si>
  <si>
    <t>5=6+7+8+9+10</t>
  </si>
  <si>
    <t>Медицинска опрема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</si>
  <si>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</si>
  <si>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</si>
  <si>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</si>
  <si>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 xml:space="preserve">Износ планираних расхода и издатака </t>
  </si>
  <si>
    <t xml:space="preserve">Меморандумске ставке за рефундацију расхода буџета Републике из претходне године </t>
  </si>
  <si>
    <t>V</t>
  </si>
  <si>
    <t>Новчане казне и пенали по решењу судова</t>
  </si>
  <si>
    <t>741000</t>
  </si>
  <si>
    <t xml:space="preserve">ПРИХОДИ  </t>
  </si>
  <si>
    <t>Осигурање опреме</t>
  </si>
  <si>
    <t>Накнаде члановима управних и надзорних одбора</t>
  </si>
  <si>
    <t>II.1.5.4</t>
  </si>
  <si>
    <t>Закуп медицинске и лабораторијске опреме</t>
  </si>
  <si>
    <t>I.5.3</t>
  </si>
  <si>
    <t>II.1.6.1</t>
  </si>
  <si>
    <t>II.3.8</t>
  </si>
  <si>
    <t>Накнаде трошкова за превоз на посао и са посла по путном налогу</t>
  </si>
  <si>
    <t>Остале стручне услуге - волонтери</t>
  </si>
  <si>
    <t>Мерни и контролни инструменти</t>
  </si>
  <si>
    <t>Остали санитетски материјал</t>
  </si>
  <si>
    <t>ЗАКУП ИМОВИНЕ И ОПРЕМЕ</t>
  </si>
  <si>
    <t>II.6.1.5</t>
  </si>
  <si>
    <t>Пропан бутан у боцама и течни азот</t>
  </si>
  <si>
    <t>Текуће поправке и одржавање мерних и контролних инструмената</t>
  </si>
  <si>
    <t>II.5.1.10</t>
  </si>
  <si>
    <t>II.4.2.1</t>
  </si>
  <si>
    <t>II.4.2.</t>
  </si>
  <si>
    <t>Алат и инвентар</t>
  </si>
  <si>
    <t>II.1.4.4</t>
  </si>
  <si>
    <t>II.1.4.5</t>
  </si>
  <si>
    <t>II.1.4.6</t>
  </si>
  <si>
    <t>Цвеће и зеленило</t>
  </si>
  <si>
    <t>ДОМ ЗДРАВЉА "ЧАЧАК" ЧАЧАК</t>
  </si>
  <si>
    <t>I.2.</t>
  </si>
  <si>
    <t>I.5.</t>
  </si>
  <si>
    <t>Поштанске услуге</t>
  </si>
  <si>
    <t>Услуге прања веша</t>
  </si>
  <si>
    <t>Капитално одржавање</t>
  </si>
  <si>
    <t>САСТАВИЛА</t>
  </si>
  <si>
    <t>_______________________________</t>
  </si>
  <si>
    <t>Радови на комуникационим инсталацијама</t>
  </si>
  <si>
    <t>Со за путеве</t>
  </si>
  <si>
    <t>Сервис возила</t>
  </si>
  <si>
    <t>Уградна опрема</t>
  </si>
  <si>
    <t>Електронска опрема</t>
  </si>
  <si>
    <t>Пренета неутрошена сред.из претходне године</t>
  </si>
  <si>
    <t>Опрема за заштиту животне средине</t>
  </si>
  <si>
    <t>Сервис уградне опреме</t>
  </si>
  <si>
    <t>Остале медицинске услуге</t>
  </si>
  <si>
    <t>УКУПНИ ПРИХОДИ И ПРИМАЊА  I+II+III+IV+V</t>
  </si>
  <si>
    <t>МЕМОРАНДУМСКЕ СТАВКЕ ЗА РЕФУНДАЦИЈУ РАСХОДА</t>
  </si>
  <si>
    <t>781111</t>
  </si>
  <si>
    <t>ТРАНСФЕРИ ИЗМЕЂУ БУЏЕТСКИХ КОРИСНИКА НА ИСТОМ НИВОУ</t>
  </si>
  <si>
    <t xml:space="preserve">ПРИМАЊА ОД ПРОДАЈЕ НЕПОКРЕТНОСТИ - откуп станова у државној својини </t>
  </si>
  <si>
    <t>I.2.2</t>
  </si>
  <si>
    <t>I.2.3</t>
  </si>
  <si>
    <t>I.3.</t>
  </si>
  <si>
    <t>I.3.1</t>
  </si>
  <si>
    <t>1.4.1</t>
  </si>
  <si>
    <t>1.4.1.1</t>
  </si>
  <si>
    <t>1.4.1.2</t>
  </si>
  <si>
    <t>I.4.2.1</t>
  </si>
  <si>
    <t>I.4.2.2</t>
  </si>
  <si>
    <t>Отпремнине и помоћи</t>
  </si>
  <si>
    <t>I.6.1</t>
  </si>
  <si>
    <t>I.6.2</t>
  </si>
  <si>
    <t>РАСХОДИ ЗА ЗАПОСЛЕНЕ (1+2+3+4+5+6)</t>
  </si>
  <si>
    <t>I.6.</t>
  </si>
  <si>
    <t>1.4.</t>
  </si>
  <si>
    <t>I.1.</t>
  </si>
  <si>
    <t>II.1.1.</t>
  </si>
  <si>
    <t>II.1.1.1</t>
  </si>
  <si>
    <t>II.2.2.1</t>
  </si>
  <si>
    <t>II.2.2.2</t>
  </si>
  <si>
    <t>II.2.2.3</t>
  </si>
  <si>
    <t>Административне услуге</t>
  </si>
  <si>
    <t>II.3.1.1</t>
  </si>
  <si>
    <t>Остале административне услуге</t>
  </si>
  <si>
    <t>Услуге одржавања софтвера</t>
  </si>
  <si>
    <t>Компјутерске услуге</t>
  </si>
  <si>
    <t xml:space="preserve">Услуге образовања и усавршавања   </t>
  </si>
  <si>
    <t>Услуге информисања</t>
  </si>
  <si>
    <t xml:space="preserve">Стручне услуге  </t>
  </si>
  <si>
    <t>II.3.5.1</t>
  </si>
  <si>
    <t>II.3.5.2</t>
  </si>
  <si>
    <t>II.3.5.3</t>
  </si>
  <si>
    <t>Остале стручне услуге - надзор</t>
  </si>
  <si>
    <t>Услуге за домаћинство и угоститељство</t>
  </si>
  <si>
    <t>II.3.6.1</t>
  </si>
  <si>
    <t>II.3.7.1</t>
  </si>
  <si>
    <t>II.3.8.1</t>
  </si>
  <si>
    <t>Остале специјализоване услуге</t>
  </si>
  <si>
    <t>Остале специјализоиване  услуге - медицина рада</t>
  </si>
  <si>
    <t>Текуће поправке и одржавање објеката</t>
  </si>
  <si>
    <t>II.5.2.4.1</t>
  </si>
  <si>
    <t>II.5.2.4.2</t>
  </si>
  <si>
    <t>II.5.2.4.3</t>
  </si>
  <si>
    <t>II.5.2.4.4</t>
  </si>
  <si>
    <t>Материјали за образовање и усавршавање запослених</t>
  </si>
  <si>
    <t>II.6.2.1</t>
  </si>
  <si>
    <t>МАТЕРИЈАЛИ ЗА ОДРЖАВАЊЕ ХИГИЈЕНЕ И УГОСТИТЕЉСТВО</t>
  </si>
  <si>
    <t>11=12+13+14+15+16</t>
  </si>
  <si>
    <t>ДОБРОВОЉНИ ТРАНСФЕРИ ОД ФИЗИЧКИХ И ПРАВНИХ ЛИЦА</t>
  </si>
  <si>
    <t>VI</t>
  </si>
  <si>
    <t>II.3.3.3</t>
  </si>
  <si>
    <t>Порез на добит правних лица</t>
  </si>
  <si>
    <t>Остале поправке опреме за саобраћај</t>
  </si>
  <si>
    <t>Одлагање медицинског отпада</t>
  </si>
  <si>
    <t>Медицинске услуге</t>
  </si>
  <si>
    <t>Остали материјал за очување животне средине</t>
  </si>
  <si>
    <t>Материјали за очување животне средине</t>
  </si>
  <si>
    <t>Инвентар за одржавање хигијене</t>
  </si>
  <si>
    <t>Поклони</t>
  </si>
  <si>
    <t>II.3.7.2</t>
  </si>
  <si>
    <t>II.6.5.1.1</t>
  </si>
  <si>
    <t>II.6.5.1.2</t>
  </si>
  <si>
    <t>II.6.5.1.3</t>
  </si>
  <si>
    <t>II.6.5.3.1</t>
  </si>
  <si>
    <t>II.6.5.3.2</t>
  </si>
  <si>
    <t>II.6.5.4</t>
  </si>
  <si>
    <t>II.6.5.4.1</t>
  </si>
  <si>
    <t>II.6.5.4.2</t>
  </si>
  <si>
    <t>II.6.7</t>
  </si>
  <si>
    <t>II.6.7.1</t>
  </si>
  <si>
    <t>II.6.7.2</t>
  </si>
  <si>
    <t>II.6.7.3</t>
  </si>
  <si>
    <t>II.6.7.4</t>
  </si>
  <si>
    <t>II.6.7.5</t>
  </si>
  <si>
    <t>II.6.7.6</t>
  </si>
  <si>
    <t>II.6.7.7</t>
  </si>
  <si>
    <t>II.6.7.8</t>
  </si>
  <si>
    <t>II.6.7.9</t>
  </si>
  <si>
    <t>II.6.7.10</t>
  </si>
  <si>
    <t>II.6.7.11</t>
  </si>
  <si>
    <t>II.6.7.12</t>
  </si>
  <si>
    <t>V.1.</t>
  </si>
  <si>
    <t>VI.1.1</t>
  </si>
  <si>
    <t>VI.1.2</t>
  </si>
  <si>
    <t>VI.1.3</t>
  </si>
  <si>
    <t>VI.1.4</t>
  </si>
  <si>
    <t>Телефони</t>
  </si>
  <si>
    <t>Дневнице (исхрана) за путовање у оквиру редовног рада</t>
  </si>
  <si>
    <t>Трошкови путовања у оквиру редовног рада (по путном налогу)</t>
  </si>
  <si>
    <t>Трошкови путовања у оквиру редовног рада (путарина)</t>
  </si>
  <si>
    <t>II.2.2.4</t>
  </si>
  <si>
    <t>Трошкови путовања у оквиру редовног рада (замена посла)</t>
  </si>
  <si>
    <t>II.2.2.5</t>
  </si>
  <si>
    <t>II.2.2.6</t>
  </si>
  <si>
    <t>Трошкови путовања у оквиру редовног рада (рад у две амбуланте)</t>
  </si>
  <si>
    <t>Радио веза</t>
  </si>
  <si>
    <t>Опрема за домаћинство</t>
  </si>
  <si>
    <t>Маријана Вранеш</t>
  </si>
  <si>
    <t>шеф рачуноводства</t>
  </si>
  <si>
    <t>НАЧЕЛНИК</t>
  </si>
  <si>
    <t>Весна Малетић</t>
  </si>
  <si>
    <t>Едукација запослених</t>
  </si>
  <si>
    <t>Приходи по основу донација за санацију штета од елементарних непогода</t>
  </si>
  <si>
    <t>Остале услуге комуникација</t>
  </si>
  <si>
    <t>II.1.4.7</t>
  </si>
  <si>
    <t>ОСТАЛЕ ДОТАЦИЈЕ И ТРАНСФЕРИ</t>
  </si>
  <si>
    <t>Остале текуће дотације по закону - инвалиди</t>
  </si>
  <si>
    <t>Текуће поправке и одржавање опреме за јавну бетбедност</t>
  </si>
  <si>
    <t>HTZ oprema</t>
  </si>
  <si>
    <t>II.5.2.4.5</t>
  </si>
  <si>
    <t>Остале стручне услуге</t>
  </si>
  <si>
    <t>Пошта доплатне марке</t>
  </si>
  <si>
    <t>Помоћ у медицинском лечењу запосленог или члана уже породице</t>
  </si>
  <si>
    <t>Интернет и слично</t>
  </si>
  <si>
    <t>II.3.5.4</t>
  </si>
  <si>
    <t>Помоћ у медицинском лечењу запосленог или чланова уже породице и друге помоћи запосленом</t>
  </si>
  <si>
    <t>I.4.3</t>
  </si>
  <si>
    <t>I.4.3.1</t>
  </si>
  <si>
    <t>II.4.3.</t>
  </si>
  <si>
    <t>II.4.3.1</t>
  </si>
  <si>
    <t>Услуге очувања животне средине, науке и геодетске услуге</t>
  </si>
  <si>
    <t>Услуге очувања животне средине</t>
  </si>
  <si>
    <t>ДОТАЦИЈЕ ОСТАЛИМ НЕПРОФИТНИМ ИНСТИТУЦИЈАМА</t>
  </si>
  <si>
    <t xml:space="preserve">Дотације осталим непрофитним институцијама </t>
  </si>
  <si>
    <t>Износ планираних прихода и примања</t>
  </si>
  <si>
    <t>IV.1</t>
  </si>
  <si>
    <t>VII</t>
  </si>
  <si>
    <t>VII.1.</t>
  </si>
  <si>
    <t>VIII</t>
  </si>
  <si>
    <t>VIII.1</t>
  </si>
  <si>
    <t>VIII.1.1</t>
  </si>
  <si>
    <t>VIII.1.2</t>
  </si>
  <si>
    <t>VIII.1.3</t>
  </si>
  <si>
    <t>VIII.1.4</t>
  </si>
  <si>
    <t>VIII.1.5</t>
  </si>
  <si>
    <t>VIII.1.6</t>
  </si>
  <si>
    <t>VIII.1.7</t>
  </si>
  <si>
    <t>VIII.1.8</t>
  </si>
  <si>
    <t>VIII.1.9</t>
  </si>
  <si>
    <t xml:space="preserve">Радови на објекту Дома здравља </t>
  </si>
  <si>
    <t>УКУПНИ РАСХОДИ И ИЗДАЦИ I+II+III+IV+V+VI+VII+VIII</t>
  </si>
  <si>
    <t>VIII.1.10</t>
  </si>
  <si>
    <t>II.1.3.4</t>
  </si>
  <si>
    <t>Услуге чишћења</t>
  </si>
  <si>
    <t>Остали материјал за одржавање хигијене</t>
  </si>
  <si>
    <t>II.6.6.4</t>
  </si>
  <si>
    <t xml:space="preserve">IV РЕБАЛАНС ФИНАНСИЈСКОГ ПЛАНА ЗА 2017. ГОДИНУ </t>
  </si>
  <si>
    <t>Износ планираних прихода и примања  IV ребаланс</t>
  </si>
  <si>
    <t>Износ планираних расхода и издатака - IV ребаланс</t>
  </si>
  <si>
    <t>VIII.1.11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</si>
</sst>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000"/>
    <numFmt numFmtId="186" formatCode="#,##0.00\ &quot;Din&quot;"/>
    <numFmt numFmtId="187" formatCode="#,##0.00000"/>
    <numFmt numFmtId="188" formatCode="#,##0.000"/>
    <numFmt numFmtId="189" formatCode="[$-409]dddd\,\ mmmm\ dd\,\ yyyy"/>
    <numFmt numFmtId="190" formatCode="#,##0.00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12"/>
      <color indexed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sz val="9"/>
      <color indexed="10"/>
      <name val="Cambria"/>
      <family val="1"/>
    </font>
    <font>
      <b/>
      <sz val="12"/>
      <color indexed="8"/>
      <name val="Cambria"/>
      <family val="1"/>
    </font>
    <font>
      <b/>
      <sz val="8"/>
      <color indexed="8"/>
      <name val="Cambria"/>
      <family val="1"/>
    </font>
    <font>
      <sz val="7.5"/>
      <name val="Cambria"/>
      <family val="1"/>
    </font>
    <font>
      <sz val="7.5"/>
      <color indexed="8"/>
      <name val="Cambria"/>
      <family val="1"/>
    </font>
    <font>
      <b/>
      <i/>
      <sz val="9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9"/>
      <color theme="1"/>
      <name val="Cambria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double"/>
    </border>
    <border>
      <left/>
      <right/>
      <top style="double"/>
      <bottom style="double"/>
    </border>
    <border>
      <left/>
      <right/>
      <top>
        <color indexed="63"/>
      </top>
      <bottom style="thin"/>
    </border>
    <border>
      <left/>
      <right style="thin"/>
      <top style="double"/>
      <bottom style="double"/>
    </border>
    <border>
      <left>
        <color indexed="63"/>
      </left>
      <right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5">
    <xf numFmtId="0" fontId="0" fillId="0" borderId="0" xfId="0" applyFont="1" applyAlignment="1">
      <alignment/>
    </xf>
    <xf numFmtId="0" fontId="6" fillId="0" borderId="10" xfId="57" applyFont="1" applyFill="1" applyBorder="1" applyAlignment="1">
      <alignment horizontal="center" vertical="center"/>
      <protection/>
    </xf>
    <xf numFmtId="49" fontId="6" fillId="0" borderId="10" xfId="57" applyNumberFormat="1" applyFont="1" applyFill="1" applyBorder="1" applyAlignment="1">
      <alignment horizontal="center" vertical="center"/>
      <protection/>
    </xf>
    <xf numFmtId="180" fontId="6" fillId="0" borderId="10" xfId="57" applyNumberFormat="1" applyFont="1" applyFill="1" applyBorder="1" applyAlignment="1">
      <alignment horizontal="right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180" fontId="3" fillId="0" borderId="10" xfId="57" applyNumberFormat="1" applyFont="1" applyFill="1" applyBorder="1" applyAlignment="1">
      <alignment horizontal="right" vertical="center" wrapText="1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 applyProtection="1">
      <alignment horizontal="center" vertical="center" wrapText="1"/>
      <protection/>
    </xf>
    <xf numFmtId="49" fontId="6" fillId="0" borderId="10" xfId="57" applyNumberFormat="1" applyFont="1" applyFill="1" applyBorder="1" applyAlignment="1" applyProtection="1">
      <alignment horizontal="center" vertical="center" wrapText="1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3" fontId="6" fillId="0" borderId="10" xfId="57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57" applyNumberFormat="1" applyFont="1" applyFill="1" applyBorder="1" applyAlignment="1">
      <alignment vertical="center"/>
      <protection/>
    </xf>
    <xf numFmtId="0" fontId="6" fillId="0" borderId="11" xfId="57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vertical="center" wrapText="1"/>
      <protection/>
    </xf>
    <xf numFmtId="49" fontId="6" fillId="0" borderId="12" xfId="57" applyNumberFormat="1" applyFont="1" applyFill="1" applyBorder="1" applyAlignment="1">
      <alignment horizontal="center" vertical="center" wrapText="1"/>
      <protection/>
    </xf>
    <xf numFmtId="49" fontId="3" fillId="0" borderId="13" xfId="57" applyNumberFormat="1" applyFont="1" applyFill="1" applyBorder="1" applyAlignment="1" applyProtection="1">
      <alignment horizontal="center" vertical="center" wrapText="1"/>
      <protection/>
    </xf>
    <xf numFmtId="0" fontId="3" fillId="0" borderId="14" xfId="57" applyFont="1" applyFill="1" applyBorder="1" applyAlignment="1" applyProtection="1">
      <alignment vertical="center" wrapText="1"/>
      <protection/>
    </xf>
    <xf numFmtId="0" fontId="3" fillId="0" borderId="15" xfId="57" applyFont="1" applyFill="1" applyBorder="1" applyAlignment="1" applyProtection="1">
      <alignment vertical="center" wrapText="1"/>
      <protection/>
    </xf>
    <xf numFmtId="0" fontId="3" fillId="0" borderId="11" xfId="57" applyFont="1" applyFill="1" applyBorder="1" applyAlignment="1" applyProtection="1">
      <alignment vertical="center" wrapText="1"/>
      <protection/>
    </xf>
    <xf numFmtId="49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49" fontId="6" fillId="0" borderId="15" xfId="57" applyNumberFormat="1" applyFont="1" applyFill="1" applyBorder="1" applyAlignment="1" applyProtection="1">
      <alignment vertical="center" wrapText="1"/>
      <protection/>
    </xf>
    <xf numFmtId="0" fontId="3" fillId="0" borderId="17" xfId="57" applyFont="1" applyFill="1" applyBorder="1" applyAlignment="1" applyProtection="1">
      <alignment vertical="center" wrapText="1"/>
      <protection/>
    </xf>
    <xf numFmtId="3" fontId="3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 vertical="center" wrapText="1"/>
    </xf>
    <xf numFmtId="49" fontId="6" fillId="0" borderId="12" xfId="57" applyNumberFormat="1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>
      <alignment vertical="center"/>
    </xf>
    <xf numFmtId="0" fontId="3" fillId="0" borderId="10" xfId="57" applyFont="1" applyFill="1" applyBorder="1" applyAlignment="1">
      <alignment vertical="center"/>
      <protection/>
    </xf>
    <xf numFmtId="49" fontId="6" fillId="0" borderId="18" xfId="57" applyNumberFormat="1" applyFont="1" applyFill="1" applyBorder="1" applyAlignment="1">
      <alignment horizontal="center" vertical="center" wrapText="1"/>
      <protection/>
    </xf>
    <xf numFmtId="49" fontId="6" fillId="0" borderId="14" xfId="57" applyNumberFormat="1" applyFont="1" applyFill="1" applyBorder="1" applyAlignment="1" applyProtection="1">
      <alignment vertical="center" wrapText="1"/>
      <protection/>
    </xf>
    <xf numFmtId="49" fontId="6" fillId="0" borderId="11" xfId="57" applyNumberFormat="1" applyFont="1" applyFill="1" applyBorder="1" applyAlignment="1" applyProtection="1">
      <alignment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 applyProtection="1">
      <alignment horizontal="center" vertical="center" wrapText="1"/>
      <protection/>
    </xf>
    <xf numFmtId="0" fontId="6" fillId="0" borderId="15" xfId="57" applyFont="1" applyFill="1" applyBorder="1" applyAlignment="1" applyProtection="1">
      <alignment horizontal="center" vertical="center" wrapText="1"/>
      <protection/>
    </xf>
    <xf numFmtId="0" fontId="6" fillId="0" borderId="14" xfId="57" applyFont="1" applyFill="1" applyBorder="1" applyAlignment="1" applyProtection="1">
      <alignment horizontal="center" vertical="center" wrapText="1"/>
      <protection/>
    </xf>
    <xf numFmtId="49" fontId="6" fillId="0" borderId="11" xfId="57" applyNumberFormat="1" applyFont="1" applyFill="1" applyBorder="1" applyAlignment="1" applyProtection="1">
      <alignment horizontal="center" vertical="center" wrapText="1"/>
      <protection/>
    </xf>
    <xf numFmtId="49" fontId="6" fillId="0" borderId="15" xfId="57" applyNumberFormat="1" applyFont="1" applyFill="1" applyBorder="1" applyAlignment="1" applyProtection="1">
      <alignment horizontal="center" vertical="center" wrapText="1"/>
      <protection/>
    </xf>
    <xf numFmtId="49" fontId="6" fillId="0" borderId="19" xfId="57" applyNumberFormat="1" applyFont="1" applyFill="1" applyBorder="1" applyAlignment="1" applyProtection="1">
      <alignment horizontal="center" vertical="center"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16" fillId="0" borderId="0" xfId="57" applyFont="1" applyFill="1" applyAlignment="1">
      <alignment vertical="center"/>
      <protection/>
    </xf>
    <xf numFmtId="0" fontId="17" fillId="0" borderId="0" xfId="57" applyFont="1" applyFill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 wrapText="1"/>
      <protection/>
    </xf>
    <xf numFmtId="0" fontId="6" fillId="0" borderId="0" xfId="57" applyFont="1" applyFill="1" applyAlignment="1" quotePrefix="1">
      <alignment horizontal="left"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3" fillId="0" borderId="0" xfId="57" applyFont="1" applyFill="1" applyAlignment="1">
      <alignment horizontal="left" vertical="center"/>
      <protection/>
    </xf>
    <xf numFmtId="0" fontId="3" fillId="0" borderId="20" xfId="57" applyFont="1" applyFill="1" applyBorder="1" applyAlignment="1">
      <alignment horizontal="center" vertical="center"/>
      <protection/>
    </xf>
    <xf numFmtId="0" fontId="3" fillId="0" borderId="21" xfId="57" applyFont="1" applyFill="1" applyBorder="1" applyAlignment="1">
      <alignment horizontal="center" vertical="center"/>
      <protection/>
    </xf>
    <xf numFmtId="0" fontId="3" fillId="0" borderId="14" xfId="57" applyFont="1" applyFill="1" applyBorder="1" applyAlignment="1">
      <alignment vertical="center"/>
      <protection/>
    </xf>
    <xf numFmtId="0" fontId="3" fillId="0" borderId="15" xfId="57" applyFont="1" applyFill="1" applyBorder="1" applyAlignment="1">
      <alignment vertical="center"/>
      <protection/>
    </xf>
    <xf numFmtId="0" fontId="3" fillId="0" borderId="11" xfId="57" applyFont="1" applyFill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6" fillId="0" borderId="10" xfId="57" applyNumberFormat="1" applyFont="1" applyFill="1" applyBorder="1" applyAlignment="1">
      <alignment horizontal="right" vertical="center" wrapText="1"/>
      <protection/>
    </xf>
    <xf numFmtId="3" fontId="3" fillId="0" borderId="10" xfId="57" applyNumberFormat="1" applyFont="1" applyFill="1" applyBorder="1" applyAlignment="1">
      <alignment horizontal="right" vertical="center" wrapText="1"/>
      <protection/>
    </xf>
    <xf numFmtId="3" fontId="6" fillId="0" borderId="10" xfId="57" applyNumberFormat="1" applyFont="1" applyFill="1" applyBorder="1" applyAlignment="1">
      <alignment vertical="center"/>
      <protection/>
    </xf>
    <xf numFmtId="0" fontId="6" fillId="0" borderId="13" xfId="57" applyFont="1" applyFill="1" applyBorder="1" applyAlignment="1" applyProtection="1">
      <alignment horizontal="center" vertical="center" wrapText="1"/>
      <protection/>
    </xf>
    <xf numFmtId="0" fontId="3" fillId="0" borderId="22" xfId="57" applyFont="1" applyFill="1" applyBorder="1" applyAlignment="1" applyProtection="1">
      <alignment vertical="center" wrapText="1"/>
      <protection/>
    </xf>
    <xf numFmtId="0" fontId="3" fillId="0" borderId="16" xfId="57" applyFont="1" applyFill="1" applyBorder="1" applyAlignment="1" applyProtection="1">
      <alignment vertical="center" wrapText="1"/>
      <protection/>
    </xf>
    <xf numFmtId="49" fontId="6" fillId="0" borderId="13" xfId="57" applyNumberFormat="1" applyFont="1" applyFill="1" applyBorder="1" applyAlignment="1" applyProtection="1">
      <alignment horizontal="center" vertical="center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2" xfId="57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3" fillId="0" borderId="22" xfId="57" applyFont="1" applyFill="1" applyBorder="1" applyAlignment="1">
      <alignment vertical="center" wrapText="1"/>
      <protection/>
    </xf>
    <xf numFmtId="0" fontId="3" fillId="0" borderId="16" xfId="57" applyFont="1" applyFill="1" applyBorder="1" applyAlignment="1">
      <alignment vertical="center" wrapText="1"/>
      <protection/>
    </xf>
    <xf numFmtId="49" fontId="6" fillId="0" borderId="14" xfId="57" applyNumberFormat="1" applyFont="1" applyFill="1" applyBorder="1" applyAlignment="1" applyProtection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/>
      <protection/>
    </xf>
    <xf numFmtId="49" fontId="6" fillId="0" borderId="20" xfId="57" applyNumberFormat="1" applyFont="1" applyFill="1" applyBorder="1" applyAlignment="1" applyProtection="1">
      <alignment horizontal="center" vertical="center" wrapText="1"/>
      <protection/>
    </xf>
    <xf numFmtId="0" fontId="3" fillId="0" borderId="13" xfId="57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6" fillId="0" borderId="14" xfId="57" applyFont="1" applyFill="1" applyBorder="1" applyAlignment="1">
      <alignment vertical="center" wrapText="1"/>
      <protection/>
    </xf>
    <xf numFmtId="0" fontId="6" fillId="0" borderId="15" xfId="57" applyFont="1" applyFill="1" applyBorder="1" applyAlignment="1">
      <alignment vertical="center" wrapText="1"/>
      <protection/>
    </xf>
    <xf numFmtId="0" fontId="6" fillId="0" borderId="22" xfId="57" applyFont="1" applyFill="1" applyBorder="1" applyAlignment="1" applyProtection="1">
      <alignment horizontal="center" vertical="center" wrapText="1"/>
      <protection/>
    </xf>
    <xf numFmtId="0" fontId="6" fillId="0" borderId="17" xfId="57" applyFont="1" applyFill="1" applyBorder="1" applyAlignment="1" applyProtection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3" fontId="3" fillId="0" borderId="10" xfId="57" applyNumberFormat="1" applyFont="1" applyFill="1" applyBorder="1" applyAlignment="1">
      <alignment horizontal="right" vertical="center" wrapText="1"/>
      <protection/>
    </xf>
    <xf numFmtId="3" fontId="3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57" applyFont="1" applyFill="1" applyBorder="1" applyAlignment="1" applyProtection="1">
      <alignment horizontal="center" vertical="center" wrapText="1"/>
      <protection/>
    </xf>
    <xf numFmtId="0" fontId="6" fillId="0" borderId="16" xfId="57" applyFont="1" applyFill="1" applyBorder="1" applyAlignment="1" applyProtection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vertical="center"/>
    </xf>
    <xf numFmtId="0" fontId="6" fillId="0" borderId="21" xfId="57" applyFont="1" applyFill="1" applyBorder="1" applyAlignment="1" applyProtection="1">
      <alignment horizontal="center" vertical="center" wrapText="1"/>
      <protection/>
    </xf>
    <xf numFmtId="3" fontId="6" fillId="0" borderId="11" xfId="57" applyNumberFormat="1" applyFont="1" applyFill="1" applyBorder="1" applyAlignment="1">
      <alignment horizontal="right" vertical="center" wrapText="1"/>
      <protection/>
    </xf>
    <xf numFmtId="0" fontId="3" fillId="0" borderId="14" xfId="57" applyFont="1" applyFill="1" applyBorder="1" applyAlignment="1" applyProtection="1">
      <alignment horizontal="center" vertical="center" wrapText="1"/>
      <protection/>
    </xf>
    <xf numFmtId="3" fontId="3" fillId="0" borderId="14" xfId="57" applyNumberFormat="1" applyFont="1" applyFill="1" applyBorder="1" applyAlignment="1">
      <alignment horizontal="right" vertical="center" wrapText="1"/>
      <protection/>
    </xf>
    <xf numFmtId="3" fontId="3" fillId="0" borderId="14" xfId="57" applyNumberFormat="1" applyFont="1" applyFill="1" applyBorder="1" applyAlignment="1">
      <alignment vertical="center"/>
      <protection/>
    </xf>
    <xf numFmtId="3" fontId="3" fillId="0" borderId="14" xfId="57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57" applyNumberFormat="1" applyFont="1" applyFill="1" applyBorder="1" applyAlignment="1">
      <alignment horizontal="right" vertical="center" wrapText="1"/>
      <protection/>
    </xf>
    <xf numFmtId="3" fontId="3" fillId="0" borderId="11" xfId="57" applyNumberFormat="1" applyFont="1" applyFill="1" applyBorder="1" applyAlignment="1" applyProtection="1">
      <alignment horizontal="right" vertical="center" wrapText="1"/>
      <protection locked="0"/>
    </xf>
    <xf numFmtId="49" fontId="3" fillId="0" borderId="17" xfId="57" applyNumberFormat="1" applyFont="1" applyFill="1" applyBorder="1" applyAlignment="1" applyProtection="1">
      <alignment horizontal="center" vertical="center" wrapText="1"/>
      <protection/>
    </xf>
    <xf numFmtId="0" fontId="3" fillId="0" borderId="17" xfId="57" applyFont="1" applyFill="1" applyBorder="1" applyAlignment="1">
      <alignment vertical="center" wrapText="1"/>
      <protection/>
    </xf>
    <xf numFmtId="3" fontId="3" fillId="0" borderId="15" xfId="57" applyNumberFormat="1" applyFont="1" applyFill="1" applyBorder="1" applyAlignment="1">
      <alignment horizontal="right" vertical="center" wrapText="1"/>
      <protection/>
    </xf>
    <xf numFmtId="3" fontId="3" fillId="0" borderId="15" xfId="57" applyNumberFormat="1" applyFont="1" applyFill="1" applyBorder="1" applyAlignment="1" applyProtection="1">
      <alignment horizontal="right" vertical="center" wrapText="1"/>
      <protection locked="0"/>
    </xf>
    <xf numFmtId="0" fontId="14" fillId="0" borderId="14" xfId="57" applyFont="1" applyFill="1" applyBorder="1" applyAlignment="1">
      <alignment horizontal="center" vertical="center" wrapText="1"/>
      <protection/>
    </xf>
    <xf numFmtId="0" fontId="14" fillId="0" borderId="22" xfId="57" applyFont="1" applyFill="1" applyBorder="1" applyAlignment="1">
      <alignment horizontal="center" vertical="center" wrapText="1"/>
      <protection/>
    </xf>
    <xf numFmtId="49" fontId="6" fillId="0" borderId="11" xfId="57" applyNumberFormat="1" applyFont="1" applyFill="1" applyBorder="1" applyAlignment="1">
      <alignment horizontal="center" vertical="center"/>
      <protection/>
    </xf>
    <xf numFmtId="49" fontId="6" fillId="0" borderId="16" xfId="57" applyNumberFormat="1" applyFont="1" applyFill="1" applyBorder="1" applyAlignment="1">
      <alignment horizontal="center" vertical="center"/>
      <protection/>
    </xf>
    <xf numFmtId="180" fontId="6" fillId="0" borderId="11" xfId="57" applyNumberFormat="1" applyFont="1" applyFill="1" applyBorder="1" applyAlignment="1">
      <alignment horizontal="right" vertical="center" wrapText="1"/>
      <protection/>
    </xf>
    <xf numFmtId="0" fontId="6" fillId="0" borderId="23" xfId="57" applyFont="1" applyFill="1" applyBorder="1" applyAlignment="1">
      <alignment horizontal="center" vertical="center"/>
      <protection/>
    </xf>
    <xf numFmtId="49" fontId="6" fillId="0" borderId="23" xfId="57" applyNumberFormat="1" applyFont="1" applyFill="1" applyBorder="1" applyAlignment="1">
      <alignment horizontal="center" vertical="center"/>
      <protection/>
    </xf>
    <xf numFmtId="180" fontId="6" fillId="0" borderId="23" xfId="57" applyNumberFormat="1" applyFont="1" applyFill="1" applyBorder="1" applyAlignment="1">
      <alignment horizontal="right" vertical="center" wrapText="1"/>
      <protection/>
    </xf>
    <xf numFmtId="0" fontId="3" fillId="0" borderId="22" xfId="57" applyFont="1" applyFill="1" applyBorder="1" applyAlignment="1">
      <alignment horizontal="left" vertical="center" wrapText="1"/>
      <protection/>
    </xf>
    <xf numFmtId="180" fontId="3" fillId="0" borderId="14" xfId="57" applyNumberFormat="1" applyFont="1" applyFill="1" applyBorder="1" applyAlignment="1">
      <alignment horizontal="right" vertical="center" wrapText="1"/>
      <protection/>
    </xf>
    <xf numFmtId="0" fontId="7" fillId="0" borderId="16" xfId="0" applyFont="1" applyFill="1" applyBorder="1" applyAlignment="1">
      <alignment vertical="center" wrapText="1"/>
    </xf>
    <xf numFmtId="180" fontId="3" fillId="0" borderId="11" xfId="57" applyNumberFormat="1" applyFont="1" applyFill="1" applyBorder="1" applyAlignment="1">
      <alignment horizontal="right" vertical="center" wrapText="1"/>
      <protection/>
    </xf>
    <xf numFmtId="0" fontId="6" fillId="0" borderId="23" xfId="57" applyFont="1" applyFill="1" applyBorder="1" applyAlignment="1">
      <alignment horizontal="center" vertical="center" wrapText="1"/>
      <protection/>
    </xf>
    <xf numFmtId="180" fontId="3" fillId="0" borderId="14" xfId="57" applyNumberFormat="1" applyFont="1" applyFill="1" applyBorder="1" applyAlignment="1">
      <alignment horizontal="right" vertical="center" wrapText="1"/>
      <protection/>
    </xf>
    <xf numFmtId="49" fontId="6" fillId="0" borderId="23" xfId="57" applyNumberFormat="1" applyFont="1" applyFill="1" applyBorder="1" applyAlignment="1">
      <alignment horizontal="center" vertical="center" wrapText="1"/>
      <protection/>
    </xf>
    <xf numFmtId="180" fontId="6" fillId="0" borderId="23" xfId="57" applyNumberFormat="1" applyFont="1" applyFill="1" applyBorder="1" applyAlignment="1" applyProtection="1">
      <alignment horizontal="right" vertical="center" wrapText="1"/>
      <protection locked="0"/>
    </xf>
    <xf numFmtId="3" fontId="6" fillId="0" borderId="23" xfId="57" applyNumberFormat="1" applyFont="1" applyFill="1" applyBorder="1" applyAlignment="1" applyProtection="1">
      <alignment horizontal="right" vertical="center" wrapText="1"/>
      <protection locked="0"/>
    </xf>
    <xf numFmtId="3" fontId="7" fillId="0" borderId="11" xfId="0" applyNumberFormat="1" applyFont="1" applyFill="1" applyBorder="1" applyAlignment="1">
      <alignment vertical="center"/>
    </xf>
    <xf numFmtId="0" fontId="6" fillId="0" borderId="24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vertical="center"/>
      <protection/>
    </xf>
    <xf numFmtId="0" fontId="3" fillId="0" borderId="20" xfId="57" applyFont="1" applyFill="1" applyBorder="1" applyAlignment="1">
      <alignment vertical="center"/>
      <protection/>
    </xf>
    <xf numFmtId="0" fontId="3" fillId="0" borderId="21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49" fontId="3" fillId="0" borderId="13" xfId="57" applyNumberFormat="1" applyFont="1" applyFill="1" applyBorder="1" applyAlignment="1" applyProtection="1">
      <alignment horizontal="center" vertical="center" wrapText="1"/>
      <protection/>
    </xf>
    <xf numFmtId="0" fontId="3" fillId="0" borderId="12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vertical="center"/>
      <protection/>
    </xf>
    <xf numFmtId="2" fontId="3" fillId="0" borderId="12" xfId="57" applyNumberFormat="1" applyFont="1" applyFill="1" applyBorder="1" applyAlignment="1">
      <alignment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vertical="center" wrapText="1"/>
      <protection/>
    </xf>
    <xf numFmtId="49" fontId="6" fillId="0" borderId="20" xfId="57" applyNumberFormat="1" applyFont="1" applyFill="1" applyBorder="1" applyAlignment="1" applyProtection="1">
      <alignment vertical="center" wrapText="1"/>
      <protection/>
    </xf>
    <xf numFmtId="49" fontId="6" fillId="0" borderId="19" xfId="57" applyNumberFormat="1" applyFont="1" applyFill="1" applyBorder="1" applyAlignment="1" applyProtection="1">
      <alignment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4" fillId="0" borderId="25" xfId="57" applyFont="1" applyFill="1" applyBorder="1" applyAlignment="1">
      <alignment horizontal="center" vertical="center" wrapText="1"/>
      <protection/>
    </xf>
    <xf numFmtId="3" fontId="6" fillId="0" borderId="0" xfId="57" applyNumberFormat="1" applyFont="1" applyFill="1" applyBorder="1" applyAlignment="1">
      <alignment horizontal="right" vertical="center" wrapText="1"/>
      <protection/>
    </xf>
    <xf numFmtId="4" fontId="6" fillId="0" borderId="0" xfId="57" applyNumberFormat="1" applyFont="1" applyFill="1" applyBorder="1" applyAlignment="1">
      <alignment horizontal="right" vertical="center" wrapText="1"/>
      <protection/>
    </xf>
    <xf numFmtId="3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0" fontId="14" fillId="0" borderId="13" xfId="57" applyFont="1" applyFill="1" applyBorder="1" applyAlignment="1">
      <alignment horizontal="center" vertical="center" wrapText="1"/>
      <protection/>
    </xf>
    <xf numFmtId="49" fontId="3" fillId="0" borderId="19" xfId="57" applyNumberFormat="1" applyFont="1" applyFill="1" applyBorder="1" applyAlignment="1" applyProtection="1">
      <alignment horizontal="center" vertical="center" wrapText="1"/>
      <protection/>
    </xf>
    <xf numFmtId="0" fontId="6" fillId="0" borderId="26" xfId="57" applyFont="1" applyFill="1" applyBorder="1" applyAlignment="1">
      <alignment horizontal="center" vertical="center"/>
      <protection/>
    </xf>
    <xf numFmtId="0" fontId="6" fillId="0" borderId="26" xfId="57" applyFont="1" applyFill="1" applyBorder="1" applyAlignment="1">
      <alignment horizontal="center" vertical="center" wrapText="1"/>
      <protection/>
    </xf>
    <xf numFmtId="0" fontId="3" fillId="0" borderId="21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3" fillId="0" borderId="26" xfId="57" applyFont="1" applyFill="1" applyBorder="1" applyAlignment="1">
      <alignment horizontal="center" vertical="center" wrapText="1"/>
      <protection/>
    </xf>
    <xf numFmtId="49" fontId="3" fillId="0" borderId="12" xfId="57" applyNumberFormat="1" applyFont="1" applyFill="1" applyBorder="1" applyAlignment="1">
      <alignment vertical="center" wrapText="1"/>
      <protection/>
    </xf>
    <xf numFmtId="0" fontId="6" fillId="0" borderId="10" xfId="57" applyFont="1" applyFill="1" applyBorder="1" applyAlignment="1">
      <alignment vertical="center" wrapText="1"/>
      <protection/>
    </xf>
    <xf numFmtId="49" fontId="3" fillId="0" borderId="14" xfId="57" applyNumberFormat="1" applyFont="1" applyFill="1" applyBorder="1" applyAlignment="1" applyProtection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3" fontId="6" fillId="0" borderId="23" xfId="57" applyNumberFormat="1" applyFont="1" applyFill="1" applyBorder="1" applyAlignment="1">
      <alignment horizontal="right" vertical="center" wrapText="1"/>
      <protection/>
    </xf>
    <xf numFmtId="0" fontId="6" fillId="0" borderId="23" xfId="57" applyFont="1" applyFill="1" applyBorder="1" applyAlignment="1" applyProtection="1">
      <alignment vertical="center" wrapText="1"/>
      <protection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49" fontId="3" fillId="0" borderId="17" xfId="57" applyNumberFormat="1" applyFont="1" applyFill="1" applyBorder="1" applyAlignment="1" applyProtection="1">
      <alignment horizontal="center" vertical="center" wrapText="1"/>
      <protection/>
    </xf>
    <xf numFmtId="49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6" fillId="0" borderId="23" xfId="57" applyFont="1" applyFill="1" applyBorder="1" applyAlignment="1" applyProtection="1">
      <alignment horizontal="center" vertical="center" wrapText="1"/>
      <protection/>
    </xf>
    <xf numFmtId="49" fontId="6" fillId="0" borderId="23" xfId="57" applyNumberFormat="1" applyFont="1" applyFill="1" applyBorder="1" applyAlignment="1" applyProtection="1">
      <alignment horizontal="center" vertical="center" wrapText="1"/>
      <protection/>
    </xf>
    <xf numFmtId="49" fontId="6" fillId="0" borderId="24" xfId="57" applyNumberFormat="1" applyFont="1" applyFill="1" applyBorder="1" applyAlignment="1" applyProtection="1">
      <alignment horizontal="center" vertical="center" wrapText="1"/>
      <protection/>
    </xf>
    <xf numFmtId="0" fontId="3" fillId="0" borderId="23" xfId="57" applyFont="1" applyFill="1" applyBorder="1" applyAlignment="1" applyProtection="1">
      <alignment vertical="center" wrapText="1"/>
      <protection/>
    </xf>
    <xf numFmtId="0" fontId="3" fillId="0" borderId="17" xfId="57" applyFont="1" applyFill="1" applyBorder="1" applyAlignment="1">
      <alignment vertical="center" wrapText="1"/>
      <protection/>
    </xf>
    <xf numFmtId="0" fontId="3" fillId="0" borderId="17" xfId="57" applyFont="1" applyFill="1" applyBorder="1" applyAlignment="1">
      <alignment vertical="center"/>
      <protection/>
    </xf>
    <xf numFmtId="0" fontId="11" fillId="0" borderId="17" xfId="57" applyFont="1" applyFill="1" applyBorder="1" applyAlignment="1">
      <alignment vertical="center"/>
      <protection/>
    </xf>
    <xf numFmtId="3" fontId="3" fillId="0" borderId="23" xfId="57" applyNumberFormat="1" applyFont="1" applyFill="1" applyBorder="1" applyAlignment="1" applyProtection="1">
      <alignment horizontal="right" vertical="center" wrapText="1"/>
      <protection locked="0"/>
    </xf>
    <xf numFmtId="0" fontId="3" fillId="32" borderId="14" xfId="57" applyFont="1" applyFill="1" applyBorder="1" applyAlignment="1">
      <alignment horizontal="center" vertical="center" wrapText="1"/>
      <protection/>
    </xf>
    <xf numFmtId="0" fontId="3" fillId="32" borderId="10" xfId="57" applyFont="1" applyFill="1" applyBorder="1" applyAlignment="1">
      <alignment vertical="center" wrapText="1"/>
      <protection/>
    </xf>
    <xf numFmtId="3" fontId="3" fillId="32" borderId="10" xfId="57" applyNumberFormat="1" applyFont="1" applyFill="1" applyBorder="1" applyAlignment="1">
      <alignment horizontal="right" vertical="center" wrapText="1"/>
      <protection/>
    </xf>
    <xf numFmtId="3" fontId="3" fillId="32" borderId="10" xfId="57" applyNumberFormat="1" applyFont="1" applyFill="1" applyBorder="1" applyAlignment="1" applyProtection="1">
      <alignment horizontal="right" vertical="center" wrapText="1"/>
      <protection locked="0"/>
    </xf>
    <xf numFmtId="49" fontId="3" fillId="32" borderId="13" xfId="57" applyNumberFormat="1" applyFont="1" applyFill="1" applyBorder="1" applyAlignment="1" applyProtection="1">
      <alignment horizontal="center" vertical="center" wrapText="1"/>
      <protection/>
    </xf>
    <xf numFmtId="0" fontId="3" fillId="32" borderId="10" xfId="57" applyFont="1" applyFill="1" applyBorder="1" applyAlignment="1">
      <alignment horizontal="center" vertical="center" wrapText="1"/>
      <protection/>
    </xf>
    <xf numFmtId="0" fontId="3" fillId="32" borderId="12" xfId="57" applyFont="1" applyFill="1" applyBorder="1" applyAlignment="1">
      <alignment vertical="center" wrapText="1"/>
      <protection/>
    </xf>
    <xf numFmtId="49" fontId="6" fillId="32" borderId="10" xfId="57" applyNumberFormat="1" applyFont="1" applyFill="1" applyBorder="1" applyAlignment="1" applyProtection="1">
      <alignment horizontal="center" vertical="center" wrapText="1"/>
      <protection/>
    </xf>
    <xf numFmtId="0" fontId="3" fillId="32" borderId="12" xfId="57" applyFont="1" applyFill="1" applyBorder="1" applyAlignment="1">
      <alignment vertical="center" wrapText="1"/>
      <protection/>
    </xf>
    <xf numFmtId="49" fontId="3" fillId="32" borderId="10" xfId="57" applyNumberFormat="1" applyFont="1" applyFill="1" applyBorder="1" applyAlignment="1" applyProtection="1">
      <alignment horizontal="center" vertical="center" wrapText="1"/>
      <protection/>
    </xf>
    <xf numFmtId="3" fontId="3" fillId="32" borderId="10" xfId="57" applyNumberFormat="1" applyFont="1" applyFill="1" applyBorder="1" applyAlignment="1">
      <alignment horizontal="right" vertical="center" wrapText="1"/>
      <protection/>
    </xf>
    <xf numFmtId="49" fontId="3" fillId="32" borderId="13" xfId="57" applyNumberFormat="1" applyFont="1" applyFill="1" applyBorder="1" applyAlignment="1" applyProtection="1">
      <alignment horizontal="center" vertical="center" wrapText="1"/>
      <protection/>
    </xf>
    <xf numFmtId="49" fontId="3" fillId="32" borderId="11" xfId="57" applyNumberFormat="1" applyFont="1" applyFill="1" applyBorder="1" applyAlignment="1" applyProtection="1">
      <alignment horizontal="center" vertical="center" wrapText="1"/>
      <protection/>
    </xf>
    <xf numFmtId="0" fontId="3" fillId="32" borderId="11" xfId="57" applyFont="1" applyFill="1" applyBorder="1" applyAlignment="1">
      <alignment horizontal="center" vertical="center" wrapText="1"/>
      <protection/>
    </xf>
    <xf numFmtId="3" fontId="3" fillId="32" borderId="11" xfId="57" applyNumberFormat="1" applyFont="1" applyFill="1" applyBorder="1" applyAlignment="1">
      <alignment horizontal="right" vertical="center" wrapText="1"/>
      <protection/>
    </xf>
    <xf numFmtId="3" fontId="3" fillId="32" borderId="11" xfId="57" applyNumberFormat="1" applyFont="1" applyFill="1" applyBorder="1" applyAlignment="1" applyProtection="1">
      <alignment horizontal="right" vertical="center" wrapText="1"/>
      <protection locked="0"/>
    </xf>
    <xf numFmtId="49" fontId="3" fillId="32" borderId="16" xfId="57" applyNumberFormat="1" applyFont="1" applyFill="1" applyBorder="1" applyAlignment="1" applyProtection="1">
      <alignment horizontal="center" vertical="center" wrapText="1"/>
      <protection/>
    </xf>
    <xf numFmtId="180" fontId="3" fillId="32" borderId="10" xfId="57" applyNumberFormat="1" applyFont="1" applyFill="1" applyBorder="1" applyAlignment="1">
      <alignment horizontal="right" vertical="center" wrapText="1"/>
      <protection/>
    </xf>
    <xf numFmtId="180" fontId="3" fillId="0" borderId="11" xfId="57" applyNumberFormat="1" applyFont="1" applyFill="1" applyBorder="1" applyAlignment="1">
      <alignment horizontal="right" vertical="center" wrapText="1"/>
      <protection/>
    </xf>
    <xf numFmtId="0" fontId="58" fillId="0" borderId="0" xfId="0" applyFont="1" applyFill="1" applyAlignment="1">
      <alignment vertical="center" wrapText="1"/>
    </xf>
    <xf numFmtId="0" fontId="59" fillId="0" borderId="10" xfId="0" applyFont="1" applyFill="1" applyBorder="1" applyAlignment="1">
      <alignment wrapText="1"/>
    </xf>
    <xf numFmtId="0" fontId="6" fillId="0" borderId="27" xfId="57" applyFont="1" applyFill="1" applyBorder="1" applyAlignment="1" applyProtection="1">
      <alignment vertical="center" wrapText="1"/>
      <protection/>
    </xf>
    <xf numFmtId="0" fontId="3" fillId="0" borderId="15" xfId="57" applyFont="1" applyFill="1" applyBorder="1" applyAlignment="1" applyProtection="1">
      <alignment horizontal="center" vertical="center" wrapText="1"/>
      <protection/>
    </xf>
    <xf numFmtId="0" fontId="18" fillId="0" borderId="0" xfId="57" applyFont="1" applyFill="1" applyBorder="1" applyAlignment="1">
      <alignment horizontal="right" vertical="center" wrapText="1"/>
      <protection/>
    </xf>
    <xf numFmtId="0" fontId="8" fillId="0" borderId="0" xfId="0" applyFont="1" applyFill="1" applyBorder="1" applyAlignment="1">
      <alignment/>
    </xf>
    <xf numFmtId="0" fontId="6" fillId="0" borderId="0" xfId="57" applyFont="1" applyFill="1" applyBorder="1" applyAlignment="1">
      <alignment horizontal="right" vertical="center" wrapText="1"/>
      <protection/>
    </xf>
    <xf numFmtId="180" fontId="6" fillId="32" borderId="23" xfId="57" applyNumberFormat="1" applyFont="1" applyFill="1" applyBorder="1" applyAlignment="1">
      <alignment horizontal="right" vertical="center" wrapText="1"/>
      <protection/>
    </xf>
    <xf numFmtId="180" fontId="6" fillId="32" borderId="23" xfId="57" applyNumberFormat="1" applyFont="1" applyFill="1" applyBorder="1" applyAlignment="1" applyProtection="1">
      <alignment horizontal="right" vertical="center" wrapText="1"/>
      <protection locked="0"/>
    </xf>
    <xf numFmtId="3" fontId="6" fillId="32" borderId="23" xfId="57" applyNumberFormat="1" applyFont="1" applyFill="1" applyBorder="1" applyAlignment="1" applyProtection="1">
      <alignment horizontal="right" vertical="center" wrapText="1"/>
      <protection locked="0"/>
    </xf>
    <xf numFmtId="3" fontId="6" fillId="32" borderId="10" xfId="57" applyNumberFormat="1" applyFont="1" applyFill="1" applyBorder="1" applyAlignment="1">
      <alignment horizontal="right" vertical="center" wrapText="1"/>
      <protection/>
    </xf>
    <xf numFmtId="3" fontId="6" fillId="32" borderId="10" xfId="57" applyNumberFormat="1" applyFont="1" applyFill="1" applyBorder="1" applyAlignment="1" applyProtection="1">
      <alignment horizontal="right" vertical="center" wrapText="1"/>
      <protection locked="0"/>
    </xf>
    <xf numFmtId="3" fontId="3" fillId="32" borderId="10" xfId="57" applyNumberFormat="1" applyFont="1" applyFill="1" applyBorder="1" applyAlignment="1">
      <alignment vertical="center"/>
      <protection/>
    </xf>
    <xf numFmtId="3" fontId="4" fillId="32" borderId="10" xfId="0" applyNumberFormat="1" applyFont="1" applyFill="1" applyBorder="1" applyAlignment="1">
      <alignment vertical="center"/>
    </xf>
    <xf numFmtId="3" fontId="3" fillId="32" borderId="10" xfId="57" applyNumberFormat="1" applyFont="1" applyFill="1" applyBorder="1" applyAlignment="1" applyProtection="1">
      <alignment horizontal="right" vertical="center" wrapText="1"/>
      <protection locked="0"/>
    </xf>
    <xf numFmtId="3" fontId="11" fillId="32" borderId="10" xfId="57" applyNumberFormat="1" applyFont="1" applyFill="1" applyBorder="1" applyAlignment="1" applyProtection="1">
      <alignment horizontal="right" vertical="center" wrapText="1"/>
      <protection locked="0"/>
    </xf>
    <xf numFmtId="3" fontId="3" fillId="32" borderId="15" xfId="57" applyNumberFormat="1" applyFont="1" applyFill="1" applyBorder="1" applyAlignment="1" applyProtection="1">
      <alignment horizontal="right" vertical="center" wrapText="1"/>
      <protection locked="0"/>
    </xf>
    <xf numFmtId="3" fontId="3" fillId="32" borderId="11" xfId="57" applyNumberFormat="1" applyFont="1" applyFill="1" applyBorder="1" applyAlignment="1">
      <alignment horizontal="right" vertical="center" wrapText="1"/>
      <protection/>
    </xf>
    <xf numFmtId="3" fontId="3" fillId="32" borderId="15" xfId="57" applyNumberFormat="1" applyFont="1" applyFill="1" applyBorder="1" applyAlignment="1">
      <alignment horizontal="right" vertical="center" wrapText="1"/>
      <protection/>
    </xf>
    <xf numFmtId="3" fontId="3" fillId="32" borderId="10" xfId="57" applyNumberFormat="1" applyFont="1" applyFill="1" applyBorder="1" applyAlignment="1" applyProtection="1" quotePrefix="1">
      <alignment horizontal="right" vertical="center" wrapText="1"/>
      <protection locked="0"/>
    </xf>
    <xf numFmtId="0" fontId="3" fillId="32" borderId="10" xfId="57" applyFont="1" applyFill="1" applyBorder="1" applyAlignment="1">
      <alignment horizontal="center" vertical="center" wrapText="1"/>
      <protection/>
    </xf>
    <xf numFmtId="4" fontId="5" fillId="0" borderId="0" xfId="0" applyNumberFormat="1" applyFont="1" applyFill="1" applyAlignment="1">
      <alignment vertical="center"/>
    </xf>
    <xf numFmtId="0" fontId="3" fillId="32" borderId="13" xfId="57" applyFont="1" applyFill="1" applyBorder="1" applyAlignment="1" applyProtection="1">
      <alignment horizontal="center" vertical="center" wrapText="1"/>
      <protection/>
    </xf>
    <xf numFmtId="0" fontId="3" fillId="32" borderId="13" xfId="57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0" xfId="57" applyFont="1" applyFill="1" applyBorder="1" applyAlignment="1" applyProtection="1">
      <alignment horizontal="center" vertical="center" wrapText="1"/>
      <protection/>
    </xf>
    <xf numFmtId="49" fontId="3" fillId="32" borderId="10" xfId="57" applyNumberFormat="1" applyFont="1" applyFill="1" applyBorder="1" applyAlignment="1" applyProtection="1">
      <alignment horizontal="center" vertical="center" wrapText="1"/>
      <protection/>
    </xf>
    <xf numFmtId="49" fontId="3" fillId="32" borderId="12" xfId="57" applyNumberFormat="1" applyFont="1" applyFill="1" applyBorder="1" applyAlignment="1">
      <alignment vertical="center" wrapText="1"/>
      <protection/>
    </xf>
    <xf numFmtId="0" fontId="6" fillId="32" borderId="12" xfId="57" applyFont="1" applyFill="1" applyBorder="1" applyAlignment="1">
      <alignment vertical="center" wrapText="1"/>
      <protection/>
    </xf>
    <xf numFmtId="0" fontId="60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0" fontId="6" fillId="32" borderId="10" xfId="57" applyFont="1" applyFill="1" applyBorder="1" applyAlignment="1">
      <alignment horizontal="center" vertical="center" wrapText="1"/>
      <protection/>
    </xf>
    <xf numFmtId="49" fontId="3" fillId="32" borderId="17" xfId="57" applyNumberFormat="1" applyFont="1" applyFill="1" applyBorder="1" applyAlignment="1" applyProtection="1">
      <alignment horizontal="center" vertical="center" wrapText="1"/>
      <protection/>
    </xf>
    <xf numFmtId="0" fontId="3" fillId="32" borderId="23" xfId="57" applyFont="1" applyFill="1" applyBorder="1" applyAlignment="1">
      <alignment horizontal="center" vertical="center" wrapText="1"/>
      <protection/>
    </xf>
    <xf numFmtId="0" fontId="3" fillId="32" borderId="23" xfId="57" applyFont="1" applyFill="1" applyBorder="1" applyAlignment="1">
      <alignment vertical="center" wrapText="1"/>
      <protection/>
    </xf>
    <xf numFmtId="0" fontId="3" fillId="32" borderId="16" xfId="57" applyFont="1" applyFill="1" applyBorder="1" applyAlignment="1">
      <alignment vertical="center" wrapText="1"/>
      <protection/>
    </xf>
    <xf numFmtId="0" fontId="3" fillId="32" borderId="15" xfId="57" applyFont="1" applyFill="1" applyBorder="1" applyAlignment="1">
      <alignment horizontal="center" vertical="center" wrapText="1"/>
      <protection/>
    </xf>
    <xf numFmtId="0" fontId="3" fillId="32" borderId="17" xfId="57" applyFont="1" applyFill="1" applyBorder="1" applyAlignment="1">
      <alignment vertical="center" wrapText="1"/>
      <protection/>
    </xf>
    <xf numFmtId="0" fontId="3" fillId="32" borderId="11" xfId="57" applyFont="1" applyFill="1" applyBorder="1" applyAlignment="1">
      <alignment horizontal="center" vertical="center" wrapText="1"/>
      <protection/>
    </xf>
    <xf numFmtId="0" fontId="3" fillId="32" borderId="11" xfId="57" applyFont="1" applyFill="1" applyBorder="1" applyAlignment="1">
      <alignment horizontal="left" vertical="center" wrapText="1"/>
      <protection/>
    </xf>
    <xf numFmtId="0" fontId="6" fillId="32" borderId="16" xfId="57" applyFont="1" applyFill="1" applyBorder="1" applyAlignment="1">
      <alignment horizontal="left" vertical="center" wrapText="1"/>
      <protection/>
    </xf>
    <xf numFmtId="0" fontId="4" fillId="32" borderId="10" xfId="0" applyFont="1" applyFill="1" applyBorder="1" applyAlignment="1">
      <alignment vertical="center" wrapText="1"/>
    </xf>
    <xf numFmtId="0" fontId="3" fillId="0" borderId="14" xfId="57" applyFont="1" applyFill="1" applyBorder="1" applyAlignment="1">
      <alignment horizontal="center" vertical="center" textRotation="90" wrapText="1"/>
      <protection/>
    </xf>
    <xf numFmtId="0" fontId="3" fillId="0" borderId="15" xfId="57" applyFont="1" applyFill="1" applyBorder="1" applyAlignment="1">
      <alignment horizontal="center" vertical="center" textRotation="90" wrapText="1"/>
      <protection/>
    </xf>
    <xf numFmtId="0" fontId="3" fillId="0" borderId="11" xfId="57" applyFont="1" applyFill="1" applyBorder="1" applyAlignment="1">
      <alignment horizontal="center" vertical="center" textRotation="90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6" fillId="0" borderId="24" xfId="57" applyFont="1" applyFill="1" applyBorder="1" applyAlignment="1">
      <alignment horizontal="left" vertical="center" wrapText="1"/>
      <protection/>
    </xf>
    <xf numFmtId="0" fontId="6" fillId="0" borderId="28" xfId="57" applyFont="1" applyFill="1" applyBorder="1" applyAlignment="1">
      <alignment horizontal="left" vertical="center" wrapText="1"/>
      <protection/>
    </xf>
    <xf numFmtId="0" fontId="6" fillId="0" borderId="16" xfId="57" applyFont="1" applyFill="1" applyBorder="1" applyAlignment="1">
      <alignment horizontal="left" vertical="center" wrapText="1"/>
      <protection/>
    </xf>
    <xf numFmtId="0" fontId="6" fillId="0" borderId="29" xfId="57" applyFont="1" applyFill="1" applyBorder="1" applyAlignment="1">
      <alignment horizontal="left" vertical="center" wrapText="1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0" fontId="6" fillId="0" borderId="18" xfId="57" applyFont="1" applyFill="1" applyBorder="1" applyAlignment="1">
      <alignment horizontal="left" vertical="center" wrapText="1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3" fillId="0" borderId="24" xfId="57" applyFont="1" applyFill="1" applyBorder="1" applyAlignment="1">
      <alignment horizontal="left" vertical="center" wrapText="1"/>
      <protection/>
    </xf>
    <xf numFmtId="0" fontId="3" fillId="0" borderId="30" xfId="57" applyFont="1" applyFill="1" applyBorder="1" applyAlignment="1">
      <alignment horizontal="left" vertical="center" wrapText="1"/>
      <protection/>
    </xf>
    <xf numFmtId="0" fontId="6" fillId="32" borderId="24" xfId="57" applyFont="1" applyFill="1" applyBorder="1" applyAlignment="1">
      <alignment horizontal="left" vertical="center" wrapText="1"/>
      <protection/>
    </xf>
    <xf numFmtId="0" fontId="6" fillId="32" borderId="28" xfId="57" applyFont="1" applyFill="1" applyBorder="1" applyAlignment="1">
      <alignment horizontal="left" vertical="center" wrapText="1"/>
      <protection/>
    </xf>
    <xf numFmtId="0" fontId="6" fillId="0" borderId="16" xfId="57" applyFont="1" applyFill="1" applyBorder="1" applyAlignment="1">
      <alignment horizontal="right" vertical="center" wrapText="1"/>
      <protection/>
    </xf>
    <xf numFmtId="0" fontId="6" fillId="0" borderId="29" xfId="57" applyFont="1" applyFill="1" applyBorder="1" applyAlignment="1">
      <alignment horizontal="right" vertical="center" wrapText="1"/>
      <protection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9" fillId="0" borderId="10" xfId="57" applyFont="1" applyFill="1" applyBorder="1" applyAlignment="1">
      <alignment horizontal="center" vertical="center" textRotation="90" wrapText="1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6" fillId="0" borderId="22" xfId="57" applyFont="1" applyFill="1" applyBorder="1" applyAlignment="1">
      <alignment horizontal="left" vertical="center" wrapText="1"/>
      <protection/>
    </xf>
    <xf numFmtId="0" fontId="6" fillId="0" borderId="31" xfId="57" applyFont="1" applyFill="1" applyBorder="1" applyAlignment="1">
      <alignment horizontal="left" vertical="center" wrapText="1"/>
      <protection/>
    </xf>
    <xf numFmtId="0" fontId="6" fillId="0" borderId="13" xfId="57" applyFont="1" applyFill="1" applyBorder="1" applyAlignment="1">
      <alignment horizontal="left" vertical="center" wrapText="1"/>
      <protection/>
    </xf>
    <xf numFmtId="0" fontId="6" fillId="0" borderId="17" xfId="57" applyFont="1" applyFill="1" applyBorder="1" applyAlignment="1" applyProtection="1">
      <alignment horizontal="center" vertical="center" wrapText="1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0" fontId="6" fillId="0" borderId="22" xfId="57" applyFont="1" applyFill="1" applyBorder="1" applyAlignment="1" applyProtection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/>
      <protection/>
    </xf>
    <xf numFmtId="0" fontId="3" fillId="0" borderId="15" xfId="57" applyFont="1" applyFill="1" applyBorder="1" applyAlignment="1">
      <alignment horizontal="center" vertical="center"/>
      <protection/>
    </xf>
    <xf numFmtId="0" fontId="16" fillId="0" borderId="16" xfId="57" applyFont="1" applyFill="1" applyBorder="1" applyAlignment="1">
      <alignment horizontal="left" vertical="center" wrapText="1"/>
      <protection/>
    </xf>
    <xf numFmtId="0" fontId="16" fillId="0" borderId="29" xfId="57" applyFont="1" applyFill="1" applyBorder="1" applyAlignment="1">
      <alignment horizontal="left" vertical="center" wrapText="1"/>
      <protection/>
    </xf>
    <xf numFmtId="49" fontId="6" fillId="0" borderId="19" xfId="57" applyNumberFormat="1" applyFont="1" applyFill="1" applyBorder="1" applyAlignment="1" applyProtection="1">
      <alignment horizontal="center" vertical="center" wrapText="1"/>
      <protection/>
    </xf>
    <xf numFmtId="49" fontId="6" fillId="0" borderId="21" xfId="57" applyNumberFormat="1" applyFont="1" applyFill="1" applyBorder="1" applyAlignment="1" applyProtection="1">
      <alignment horizontal="center" vertical="center" wrapText="1"/>
      <protection/>
    </xf>
    <xf numFmtId="49" fontId="6" fillId="0" borderId="20" xfId="57" applyNumberFormat="1" applyFont="1" applyFill="1" applyBorder="1" applyAlignment="1" applyProtection="1">
      <alignment horizontal="center" vertical="center" wrapText="1"/>
      <protection/>
    </xf>
    <xf numFmtId="49" fontId="6" fillId="0" borderId="14" xfId="57" applyNumberFormat="1" applyFont="1" applyFill="1" applyBorder="1" applyAlignment="1" applyProtection="1">
      <alignment horizontal="center" vertical="center" wrapText="1"/>
      <protection/>
    </xf>
    <xf numFmtId="49" fontId="6" fillId="0" borderId="15" xfId="57" applyNumberFormat="1" applyFont="1" applyFill="1" applyBorder="1" applyAlignment="1" applyProtection="1">
      <alignment horizontal="center" vertical="center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8" xfId="57" applyFont="1" applyFill="1" applyBorder="1" applyAlignment="1">
      <alignment horizontal="left" vertical="center" wrapText="1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20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 wrapText="1"/>
      <protection/>
    </xf>
    <xf numFmtId="0" fontId="6" fillId="0" borderId="28" xfId="57" applyFont="1" applyFill="1" applyBorder="1" applyAlignment="1">
      <alignment horizontal="center" vertical="center" wrapText="1"/>
      <protection/>
    </xf>
    <xf numFmtId="0" fontId="18" fillId="0" borderId="12" xfId="57" applyFont="1" applyFill="1" applyBorder="1" applyAlignment="1">
      <alignment horizontal="right" vertical="center" wrapText="1"/>
      <protection/>
    </xf>
    <xf numFmtId="0" fontId="18" fillId="0" borderId="18" xfId="57" applyFont="1" applyFill="1" applyBorder="1" applyAlignment="1">
      <alignment horizontal="right" vertical="center" wrapText="1"/>
      <protection/>
    </xf>
    <xf numFmtId="0" fontId="18" fillId="0" borderId="13" xfId="57" applyFont="1" applyFill="1" applyBorder="1" applyAlignment="1">
      <alignment horizontal="right" vertical="center" wrapText="1"/>
      <protection/>
    </xf>
    <xf numFmtId="0" fontId="6" fillId="0" borderId="30" xfId="57" applyFont="1" applyFill="1" applyBorder="1" applyAlignment="1">
      <alignment horizontal="left" vertical="center" wrapText="1"/>
      <protection/>
    </xf>
    <xf numFmtId="0" fontId="6" fillId="0" borderId="30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ZR_Obrasci_200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tabSelected="1" zoomScale="70" zoomScaleNormal="70" zoomScalePageLayoutView="0" workbookViewId="0" topLeftCell="A239">
      <selection activeCell="E247" sqref="E247"/>
    </sheetView>
  </sheetViews>
  <sheetFormatPr defaultColWidth="9.140625" defaultRowHeight="15"/>
  <cols>
    <col min="1" max="1" width="4.421875" style="39" customWidth="1"/>
    <col min="2" max="2" width="10.140625" style="39" customWidth="1"/>
    <col min="3" max="3" width="8.57421875" style="39" customWidth="1"/>
    <col min="4" max="4" width="11.140625" style="39" customWidth="1"/>
    <col min="5" max="5" width="41.00390625" style="28" customWidth="1"/>
    <col min="6" max="6" width="15.00390625" style="39" customWidth="1"/>
    <col min="7" max="7" width="10.8515625" style="39" customWidth="1"/>
    <col min="8" max="8" width="13.7109375" style="39" customWidth="1"/>
    <col min="9" max="9" width="13.00390625" style="39" customWidth="1"/>
    <col min="10" max="10" width="12.7109375" style="38" customWidth="1"/>
    <col min="11" max="11" width="12.140625" style="39" customWidth="1"/>
    <col min="12" max="12" width="15.28125" style="39" customWidth="1"/>
    <col min="13" max="13" width="10.7109375" style="39" customWidth="1"/>
    <col min="14" max="14" width="12.140625" style="39" customWidth="1"/>
    <col min="15" max="16" width="13.57421875" style="39" customWidth="1"/>
    <col min="17" max="17" width="14.57421875" style="39" customWidth="1"/>
    <col min="18" max="16384" width="9.140625" style="39" customWidth="1"/>
  </cols>
  <sheetData>
    <row r="1" spans="1:5" ht="15.75">
      <c r="A1" s="56" t="s">
        <v>262</v>
      </c>
      <c r="B1" s="57"/>
      <c r="C1" s="57"/>
      <c r="D1" s="57"/>
      <c r="E1" s="58"/>
    </row>
    <row r="2" spans="1:5" ht="12">
      <c r="A2" s="59"/>
      <c r="B2" s="57"/>
      <c r="C2" s="57"/>
      <c r="D2" s="57"/>
      <c r="E2" s="58"/>
    </row>
    <row r="3" spans="1:8" ht="17.25" customHeight="1">
      <c r="A3" s="60" t="s">
        <v>430</v>
      </c>
      <c r="B3" s="60"/>
      <c r="C3" s="60"/>
      <c r="D3" s="60"/>
      <c r="E3" s="60"/>
      <c r="F3" s="61"/>
      <c r="G3" s="61"/>
      <c r="H3" s="61"/>
    </row>
    <row r="4" spans="1:5" ht="11.25" customHeight="1">
      <c r="A4" s="57"/>
      <c r="B4" s="57"/>
      <c r="C4" s="57"/>
      <c r="D4" s="57"/>
      <c r="E4" s="58"/>
    </row>
    <row r="5" spans="1:5" ht="28.5" customHeight="1">
      <c r="A5" s="54" t="s">
        <v>0</v>
      </c>
      <c r="B5" s="57"/>
      <c r="C5" s="57"/>
      <c r="D5" s="57"/>
      <c r="E5" s="58"/>
    </row>
    <row r="6" spans="1:17" ht="12" customHeight="1">
      <c r="A6" s="257" t="s">
        <v>1</v>
      </c>
      <c r="B6" s="260" t="s">
        <v>2</v>
      </c>
      <c r="C6" s="257" t="s">
        <v>3</v>
      </c>
      <c r="D6" s="263" t="s">
        <v>4</v>
      </c>
      <c r="E6" s="263" t="s">
        <v>5</v>
      </c>
      <c r="F6" s="264" t="s">
        <v>408</v>
      </c>
      <c r="G6" s="264"/>
      <c r="H6" s="264"/>
      <c r="I6" s="264"/>
      <c r="J6" s="264"/>
      <c r="K6" s="264"/>
      <c r="L6" s="265" t="s">
        <v>431</v>
      </c>
      <c r="M6" s="264"/>
      <c r="N6" s="264"/>
      <c r="O6" s="264"/>
      <c r="P6" s="264"/>
      <c r="Q6" s="264"/>
    </row>
    <row r="7" spans="1:17" ht="12" customHeight="1">
      <c r="A7" s="258"/>
      <c r="B7" s="261"/>
      <c r="C7" s="258"/>
      <c r="D7" s="263"/>
      <c r="E7" s="263"/>
      <c r="F7" s="266" t="s">
        <v>6</v>
      </c>
      <c r="G7" s="264" t="s">
        <v>7</v>
      </c>
      <c r="H7" s="264"/>
      <c r="I7" s="264"/>
      <c r="J7" s="264" t="s">
        <v>275</v>
      </c>
      <c r="K7" s="264" t="s">
        <v>8</v>
      </c>
      <c r="L7" s="267" t="s">
        <v>6</v>
      </c>
      <c r="M7" s="264" t="s">
        <v>7</v>
      </c>
      <c r="N7" s="264"/>
      <c r="O7" s="264"/>
      <c r="P7" s="264" t="s">
        <v>275</v>
      </c>
      <c r="Q7" s="264" t="s">
        <v>8</v>
      </c>
    </row>
    <row r="8" spans="1:17" ht="53.25" customHeight="1">
      <c r="A8" s="259"/>
      <c r="B8" s="262"/>
      <c r="C8" s="259"/>
      <c r="D8" s="263"/>
      <c r="E8" s="263"/>
      <c r="F8" s="266"/>
      <c r="G8" s="46" t="s">
        <v>9</v>
      </c>
      <c r="H8" s="152" t="s">
        <v>10</v>
      </c>
      <c r="I8" s="152" t="s">
        <v>11</v>
      </c>
      <c r="J8" s="264"/>
      <c r="K8" s="264"/>
      <c r="L8" s="267"/>
      <c r="M8" s="46" t="s">
        <v>9</v>
      </c>
      <c r="N8" s="152" t="s">
        <v>10</v>
      </c>
      <c r="O8" s="152" t="s">
        <v>11</v>
      </c>
      <c r="P8" s="264"/>
      <c r="Q8" s="264"/>
    </row>
    <row r="9" spans="1:17" s="62" customFormat="1" ht="12" customHeight="1" thickBot="1">
      <c r="A9" s="125">
        <v>0</v>
      </c>
      <c r="B9" s="125">
        <v>1</v>
      </c>
      <c r="C9" s="125">
        <v>2</v>
      </c>
      <c r="D9" s="125">
        <v>3</v>
      </c>
      <c r="E9" s="126">
        <v>4</v>
      </c>
      <c r="F9" s="125" t="s">
        <v>228</v>
      </c>
      <c r="G9" s="125">
        <v>6</v>
      </c>
      <c r="H9" s="125">
        <v>7</v>
      </c>
      <c r="I9" s="125">
        <v>8</v>
      </c>
      <c r="J9" s="125">
        <v>9</v>
      </c>
      <c r="K9" s="125">
        <v>10</v>
      </c>
      <c r="L9" s="162" t="s">
        <v>331</v>
      </c>
      <c r="M9" s="161">
        <v>12</v>
      </c>
      <c r="N9" s="161">
        <v>13</v>
      </c>
      <c r="O9" s="161">
        <v>14</v>
      </c>
      <c r="P9" s="161">
        <v>15</v>
      </c>
      <c r="Q9" s="161">
        <v>16</v>
      </c>
    </row>
    <row r="10" spans="1:17" s="38" customFormat="1" ht="30" customHeight="1" thickBot="1" thickTop="1">
      <c r="A10" s="130" t="s">
        <v>12</v>
      </c>
      <c r="B10" s="131" t="s">
        <v>13</v>
      </c>
      <c r="C10" s="131"/>
      <c r="D10" s="268" t="s">
        <v>238</v>
      </c>
      <c r="E10" s="269"/>
      <c r="F10" s="132">
        <f>+F11+F13+F18+F16</f>
        <v>27884000</v>
      </c>
      <c r="G10" s="132">
        <f>+G13+G18</f>
        <v>0</v>
      </c>
      <c r="H10" s="132">
        <f>+H13+H18</f>
        <v>0</v>
      </c>
      <c r="I10" s="132">
        <f>+I13+I18+I12</f>
        <v>1200000</v>
      </c>
      <c r="J10" s="132">
        <f>+J13</f>
        <v>3184000</v>
      </c>
      <c r="K10" s="132">
        <f>+K11+K13+K18+K16</f>
        <v>23500000</v>
      </c>
      <c r="L10" s="132">
        <f>+L11+L13+L18+L16</f>
        <v>29656260</v>
      </c>
      <c r="M10" s="132">
        <f>+M13+M18</f>
        <v>0</v>
      </c>
      <c r="N10" s="132">
        <f>+N13+N18</f>
        <v>0</v>
      </c>
      <c r="O10" s="132">
        <f>+O13+O18+O12</f>
        <v>1200000</v>
      </c>
      <c r="P10" s="132">
        <f>+P13</f>
        <v>3184000</v>
      </c>
      <c r="Q10" s="132">
        <f>+Q11+Q13+Q18+Q16</f>
        <v>25272260</v>
      </c>
    </row>
    <row r="11" spans="1:17" s="38" customFormat="1" ht="23.25" customHeight="1" thickTop="1">
      <c r="A11" s="44">
        <v>1</v>
      </c>
      <c r="B11" s="127" t="s">
        <v>237</v>
      </c>
      <c r="C11" s="128"/>
      <c r="D11" s="270" t="s">
        <v>14</v>
      </c>
      <c r="E11" s="271"/>
      <c r="F11" s="129">
        <f>SUM(G11:K11)</f>
        <v>1200000</v>
      </c>
      <c r="G11" s="129"/>
      <c r="H11" s="129"/>
      <c r="I11" s="129">
        <f>+I12</f>
        <v>1200000</v>
      </c>
      <c r="J11" s="129"/>
      <c r="K11" s="129">
        <f>+K12</f>
        <v>0</v>
      </c>
      <c r="L11" s="129">
        <f>SUM(M11:Q11)</f>
        <v>1200000</v>
      </c>
      <c r="M11" s="129"/>
      <c r="N11" s="129"/>
      <c r="O11" s="129">
        <f>+O12</f>
        <v>1200000</v>
      </c>
      <c r="P11" s="129"/>
      <c r="Q11" s="129">
        <f>+Q12</f>
        <v>0</v>
      </c>
    </row>
    <row r="12" spans="1:17" s="38" customFormat="1" ht="24.75" customHeight="1">
      <c r="A12" s="1"/>
      <c r="B12" s="2"/>
      <c r="C12" s="29"/>
      <c r="D12" s="40">
        <v>741411</v>
      </c>
      <c r="E12" s="86" t="s">
        <v>15</v>
      </c>
      <c r="F12" s="3">
        <f>SUM(G12:K12)</f>
        <v>1200000</v>
      </c>
      <c r="G12" s="3"/>
      <c r="H12" s="3"/>
      <c r="I12" s="3">
        <v>1200000</v>
      </c>
      <c r="J12" s="3"/>
      <c r="K12" s="3"/>
      <c r="L12" s="3">
        <f>SUM(M12:Q12)</f>
        <v>1200000</v>
      </c>
      <c r="M12" s="3"/>
      <c r="N12" s="3"/>
      <c r="O12" s="3">
        <v>1200000</v>
      </c>
      <c r="P12" s="3"/>
      <c r="Q12" s="3"/>
    </row>
    <row r="13" spans="1:17" s="38" customFormat="1" ht="24" customHeight="1">
      <c r="A13" s="1">
        <v>2</v>
      </c>
      <c r="B13" s="4">
        <v>742000</v>
      </c>
      <c r="C13" s="53"/>
      <c r="D13" s="272" t="s">
        <v>16</v>
      </c>
      <c r="E13" s="273"/>
      <c r="F13" s="3">
        <f>+G13+H13+I13+J13+K13</f>
        <v>25584000</v>
      </c>
      <c r="G13" s="3">
        <f>+G14</f>
        <v>0</v>
      </c>
      <c r="H13" s="3"/>
      <c r="I13" s="3"/>
      <c r="J13" s="3">
        <f>+J14</f>
        <v>3184000</v>
      </c>
      <c r="K13" s="3">
        <f>+K14+K15</f>
        <v>22400000</v>
      </c>
      <c r="L13" s="3">
        <f>+M13+N13+O13+P13+Q13</f>
        <v>27356260</v>
      </c>
      <c r="M13" s="3">
        <f>+M14</f>
        <v>0</v>
      </c>
      <c r="N13" s="3"/>
      <c r="O13" s="3"/>
      <c r="P13" s="3">
        <f>+P14</f>
        <v>3184000</v>
      </c>
      <c r="Q13" s="3">
        <f>+Q14+Q15</f>
        <v>24172260</v>
      </c>
    </row>
    <row r="14" spans="1:17" s="38" customFormat="1" ht="24.75" customHeight="1">
      <c r="A14" s="274"/>
      <c r="B14" s="260"/>
      <c r="C14" s="260"/>
      <c r="D14" s="200" t="s">
        <v>17</v>
      </c>
      <c r="E14" s="201" t="s">
        <v>18</v>
      </c>
      <c r="F14" s="212">
        <f>+G14+H14+I14+J14+K14</f>
        <v>24184000</v>
      </c>
      <c r="G14" s="212"/>
      <c r="H14" s="212"/>
      <c r="I14" s="212"/>
      <c r="J14" s="212">
        <v>3184000</v>
      </c>
      <c r="K14" s="212">
        <v>21000000</v>
      </c>
      <c r="L14" s="212">
        <f>+M14+N14+O14+P14+Q14</f>
        <v>25956260</v>
      </c>
      <c r="M14" s="212"/>
      <c r="N14" s="212"/>
      <c r="O14" s="212"/>
      <c r="P14" s="212">
        <v>3184000</v>
      </c>
      <c r="Q14" s="212">
        <f>21000000+1772260</f>
        <v>22772260</v>
      </c>
    </row>
    <row r="15" spans="1:17" ht="24.75" customHeight="1">
      <c r="A15" s="275"/>
      <c r="B15" s="262"/>
      <c r="C15" s="262"/>
      <c r="D15" s="45">
        <v>742122</v>
      </c>
      <c r="E15" s="86" t="s">
        <v>19</v>
      </c>
      <c r="F15" s="6">
        <f>+G15+H15+I15+J15+K15</f>
        <v>1400000</v>
      </c>
      <c r="G15" s="6"/>
      <c r="H15" s="6"/>
      <c r="I15" s="6"/>
      <c r="J15" s="6"/>
      <c r="K15" s="6">
        <v>1400000</v>
      </c>
      <c r="L15" s="6">
        <f>+M15+N15+O15+P15+Q15</f>
        <v>1400000</v>
      </c>
      <c r="M15" s="6"/>
      <c r="N15" s="6"/>
      <c r="O15" s="6"/>
      <c r="P15" s="6"/>
      <c r="Q15" s="6">
        <v>1400000</v>
      </c>
    </row>
    <row r="16" spans="1:17" ht="24.75" customHeight="1">
      <c r="A16" s="44">
        <v>3</v>
      </c>
      <c r="B16" s="5">
        <v>744000</v>
      </c>
      <c r="C16" s="185"/>
      <c r="D16" s="276" t="s">
        <v>332</v>
      </c>
      <c r="E16" s="277"/>
      <c r="F16" s="3">
        <f>+G16+H16+I16+J16+K16</f>
        <v>1000000</v>
      </c>
      <c r="G16" s="6"/>
      <c r="H16" s="6"/>
      <c r="I16" s="6"/>
      <c r="J16" s="6"/>
      <c r="K16" s="3">
        <f>+K17</f>
        <v>1000000</v>
      </c>
      <c r="L16" s="3">
        <f>+M16+N16+O16+P16+Q16</f>
        <v>1000000</v>
      </c>
      <c r="M16" s="6"/>
      <c r="N16" s="6"/>
      <c r="O16" s="6"/>
      <c r="P16" s="6"/>
      <c r="Q16" s="3">
        <f>+Q17</f>
        <v>1000000</v>
      </c>
    </row>
    <row r="17" spans="1:17" ht="24.75" customHeight="1">
      <c r="A17" s="44"/>
      <c r="B17" s="42"/>
      <c r="C17" s="185"/>
      <c r="D17" s="40">
        <v>744122</v>
      </c>
      <c r="E17" s="186" t="s">
        <v>386</v>
      </c>
      <c r="F17" s="6">
        <f>+G17+H17+I17+J17+K17</f>
        <v>1000000</v>
      </c>
      <c r="G17" s="6"/>
      <c r="H17" s="6"/>
      <c r="I17" s="6"/>
      <c r="J17" s="6"/>
      <c r="K17" s="6">
        <v>1000000</v>
      </c>
      <c r="L17" s="6">
        <f>+M17+N17+O17+P17+Q17</f>
        <v>1000000</v>
      </c>
      <c r="M17" s="6"/>
      <c r="N17" s="6"/>
      <c r="O17" s="6"/>
      <c r="P17" s="6"/>
      <c r="Q17" s="6">
        <v>1000000</v>
      </c>
    </row>
    <row r="18" spans="1:17" ht="25.5" customHeight="1">
      <c r="A18" s="1">
        <v>4</v>
      </c>
      <c r="B18" s="4">
        <v>745000</v>
      </c>
      <c r="C18" s="53"/>
      <c r="D18" s="272" t="s">
        <v>20</v>
      </c>
      <c r="E18" s="273"/>
      <c r="F18" s="3">
        <f>SUM(G18:K18)</f>
        <v>100000</v>
      </c>
      <c r="G18" s="3">
        <f>+G19+G20</f>
        <v>0</v>
      </c>
      <c r="H18" s="3">
        <f>+H19+H20</f>
        <v>0</v>
      </c>
      <c r="I18" s="3">
        <f>+I19+I20</f>
        <v>0</v>
      </c>
      <c r="J18" s="3">
        <f>+J19+J20</f>
        <v>0</v>
      </c>
      <c r="K18" s="3">
        <f>+K19+K20</f>
        <v>100000</v>
      </c>
      <c r="L18" s="3">
        <f>SUM(M18:Q18)</f>
        <v>100000</v>
      </c>
      <c r="M18" s="3">
        <f>+M19+M20</f>
        <v>0</v>
      </c>
      <c r="N18" s="3">
        <f>+N19+N20</f>
        <v>0</v>
      </c>
      <c r="O18" s="3">
        <f>+O19+O20</f>
        <v>0</v>
      </c>
      <c r="P18" s="3">
        <f>+P19+P20</f>
        <v>0</v>
      </c>
      <c r="Q18" s="3">
        <f>+Q19+Q20</f>
        <v>100000</v>
      </c>
    </row>
    <row r="19" spans="1:17" ht="24.75" customHeight="1">
      <c r="A19" s="278"/>
      <c r="B19" s="260"/>
      <c r="C19" s="260"/>
      <c r="D19" s="40">
        <v>745122</v>
      </c>
      <c r="E19" s="85" t="s">
        <v>21</v>
      </c>
      <c r="F19" s="6">
        <f>SUM(G19:K19)</f>
        <v>75000</v>
      </c>
      <c r="G19" s="6"/>
      <c r="H19" s="6"/>
      <c r="I19" s="6"/>
      <c r="J19" s="6"/>
      <c r="K19" s="6">
        <f>40000+35000</f>
        <v>75000</v>
      </c>
      <c r="L19" s="6">
        <f>SUM(M19:Q19)</f>
        <v>75000</v>
      </c>
      <c r="M19" s="6"/>
      <c r="N19" s="6"/>
      <c r="O19" s="6"/>
      <c r="P19" s="6"/>
      <c r="Q19" s="6">
        <f>40000+35000</f>
        <v>75000</v>
      </c>
    </row>
    <row r="20" spans="1:17" ht="24.75" customHeight="1" thickBot="1">
      <c r="A20" s="274"/>
      <c r="B20" s="261"/>
      <c r="C20" s="261"/>
      <c r="D20" s="41" t="s">
        <v>22</v>
      </c>
      <c r="E20" s="133" t="s">
        <v>23</v>
      </c>
      <c r="F20" s="134">
        <f>SUM(G20:K20)</f>
        <v>25000</v>
      </c>
      <c r="G20" s="134"/>
      <c r="H20" s="134"/>
      <c r="I20" s="134"/>
      <c r="J20" s="134"/>
      <c r="K20" s="134">
        <v>25000</v>
      </c>
      <c r="L20" s="134">
        <f>SUM(M20:Q20)</f>
        <v>25000</v>
      </c>
      <c r="M20" s="134"/>
      <c r="N20" s="134"/>
      <c r="O20" s="134"/>
      <c r="P20" s="134"/>
      <c r="Q20" s="134">
        <v>25000</v>
      </c>
    </row>
    <row r="21" spans="1:17" ht="30" customHeight="1" thickBot="1" thickTop="1">
      <c r="A21" s="170" t="s">
        <v>25</v>
      </c>
      <c r="B21" s="171">
        <v>770000</v>
      </c>
      <c r="C21" s="174"/>
      <c r="D21" s="279" t="s">
        <v>280</v>
      </c>
      <c r="E21" s="280"/>
      <c r="F21" s="132">
        <f>+G21+H21+I21+J21+K21</f>
        <v>10231590.120000001</v>
      </c>
      <c r="G21" s="132">
        <f>+G23+G22</f>
        <v>0</v>
      </c>
      <c r="H21" s="132">
        <f>+H23+H22</f>
        <v>8011226</v>
      </c>
      <c r="I21" s="132">
        <f>+I23+I22</f>
        <v>1442364.12</v>
      </c>
      <c r="J21" s="132">
        <f>+J23+J22</f>
        <v>0</v>
      </c>
      <c r="K21" s="132">
        <f>+K23+K22</f>
        <v>778000</v>
      </c>
      <c r="L21" s="132">
        <f>+M21+N21+O21+P21+Q21</f>
        <v>10231590.120000001</v>
      </c>
      <c r="M21" s="132">
        <f>+M23+M22</f>
        <v>0</v>
      </c>
      <c r="N21" s="132">
        <f>+N23+N22</f>
        <v>8011226</v>
      </c>
      <c r="O21" s="132">
        <f>+O23+O22</f>
        <v>1442364.12</v>
      </c>
      <c r="P21" s="132">
        <f>+P23+P22</f>
        <v>0</v>
      </c>
      <c r="Q21" s="132">
        <f>+Q23+Q22</f>
        <v>778000</v>
      </c>
    </row>
    <row r="22" spans="1:17" ht="24.75" customHeight="1" thickTop="1">
      <c r="A22" s="170"/>
      <c r="B22" s="171"/>
      <c r="C22" s="174"/>
      <c r="D22" s="172">
        <v>771111</v>
      </c>
      <c r="E22" s="135" t="s">
        <v>24</v>
      </c>
      <c r="F22" s="213">
        <f>+G22+H22+I22</f>
        <v>9453590.120000001</v>
      </c>
      <c r="G22" s="213"/>
      <c r="H22" s="213">
        <v>8011226</v>
      </c>
      <c r="I22" s="213">
        <v>1442364.12</v>
      </c>
      <c r="J22" s="136"/>
      <c r="K22" s="129"/>
      <c r="L22" s="213">
        <f>+M22+N22+O22</f>
        <v>9453590.120000001</v>
      </c>
      <c r="M22" s="213"/>
      <c r="N22" s="213">
        <v>8011226</v>
      </c>
      <c r="O22" s="213">
        <v>1442364.12</v>
      </c>
      <c r="P22" s="136"/>
      <c r="Q22" s="129"/>
    </row>
    <row r="23" spans="1:17" ht="24.75" customHeight="1" thickBot="1">
      <c r="A23" s="97"/>
      <c r="B23" s="110"/>
      <c r="C23" s="95"/>
      <c r="D23" s="173">
        <v>772111</v>
      </c>
      <c r="E23" s="28" t="s">
        <v>234</v>
      </c>
      <c r="F23" s="138">
        <f>SUM(G23:K23)</f>
        <v>778000</v>
      </c>
      <c r="G23" s="138"/>
      <c r="H23" s="138"/>
      <c r="I23" s="138"/>
      <c r="J23" s="138"/>
      <c r="K23" s="138">
        <v>778000</v>
      </c>
      <c r="L23" s="138">
        <f>SUM(M23:Q23)</f>
        <v>778000</v>
      </c>
      <c r="M23" s="138"/>
      <c r="N23" s="138"/>
      <c r="O23" s="138"/>
      <c r="P23" s="138"/>
      <c r="Q23" s="138">
        <v>778000</v>
      </c>
    </row>
    <row r="24" spans="1:17" ht="30" customHeight="1" thickBot="1" thickTop="1">
      <c r="A24" s="130" t="s">
        <v>26</v>
      </c>
      <c r="B24" s="139" t="s">
        <v>281</v>
      </c>
      <c r="C24" s="139"/>
      <c r="D24" s="281" t="s">
        <v>282</v>
      </c>
      <c r="E24" s="282"/>
      <c r="F24" s="221">
        <f>SUM(G24:K24)</f>
        <v>557068333</v>
      </c>
      <c r="G24" s="222"/>
      <c r="H24" s="222"/>
      <c r="I24" s="223">
        <f>458195000+75571000+5701851+2609870+71000+11387253+3532359</f>
        <v>557068333</v>
      </c>
      <c r="J24" s="222"/>
      <c r="K24" s="222"/>
      <c r="L24" s="221">
        <f>SUM(M24:Q24)</f>
        <v>546047333</v>
      </c>
      <c r="M24" s="222"/>
      <c r="N24" s="222"/>
      <c r="O24" s="223">
        <f>447174000+75571000+5701851+2609870+71000+11387253+3532359</f>
        <v>546047333</v>
      </c>
      <c r="P24" s="222"/>
      <c r="Q24" s="222"/>
    </row>
    <row r="25" spans="1:17" ht="30" customHeight="1" thickBot="1" thickTop="1">
      <c r="A25" s="130" t="s">
        <v>225</v>
      </c>
      <c r="B25" s="137">
        <v>791111</v>
      </c>
      <c r="C25" s="143"/>
      <c r="D25" s="281" t="s">
        <v>27</v>
      </c>
      <c r="E25" s="282"/>
      <c r="F25" s="221">
        <f>SUM(G25:K25)</f>
        <v>11561000</v>
      </c>
      <c r="G25" s="222"/>
      <c r="H25" s="222">
        <f>11200000+361000</f>
        <v>11561000</v>
      </c>
      <c r="I25" s="223"/>
      <c r="J25" s="222"/>
      <c r="K25" s="222"/>
      <c r="L25" s="221">
        <f>SUM(M25:Q25)</f>
        <v>12641000</v>
      </c>
      <c r="M25" s="222"/>
      <c r="N25" s="222">
        <v>12641000</v>
      </c>
      <c r="O25" s="223"/>
      <c r="P25" s="222"/>
      <c r="Q25" s="222"/>
    </row>
    <row r="26" spans="1:17" ht="30" customHeight="1" thickBot="1" thickTop="1">
      <c r="A26" s="130" t="s">
        <v>235</v>
      </c>
      <c r="B26" s="137">
        <v>811111</v>
      </c>
      <c r="C26" s="137"/>
      <c r="D26" s="268" t="s">
        <v>283</v>
      </c>
      <c r="E26" s="269"/>
      <c r="F26" s="132">
        <f>SUM(G26:K26)</f>
        <v>30000</v>
      </c>
      <c r="G26" s="140"/>
      <c r="H26" s="140"/>
      <c r="I26" s="141"/>
      <c r="J26" s="140"/>
      <c r="K26" s="140">
        <v>30000</v>
      </c>
      <c r="L26" s="132">
        <f>SUM(M26:Q26)</f>
        <v>30000</v>
      </c>
      <c r="M26" s="140"/>
      <c r="N26" s="140"/>
      <c r="O26" s="141"/>
      <c r="P26" s="140"/>
      <c r="Q26" s="140">
        <v>30000</v>
      </c>
    </row>
    <row r="27" spans="1:17" ht="25.5" customHeight="1" thickTop="1">
      <c r="A27" s="283" t="s">
        <v>279</v>
      </c>
      <c r="B27" s="284"/>
      <c r="C27" s="284"/>
      <c r="D27" s="284"/>
      <c r="E27" s="284"/>
      <c r="F27" s="142">
        <f>+G27+H27+I27+J27+K27-1</f>
        <v>606774922.12</v>
      </c>
      <c r="G27" s="142"/>
      <c r="H27" s="142">
        <f>+H10+H24+H25+H22+H23</f>
        <v>19572226</v>
      </c>
      <c r="I27" s="142">
        <f>+I10+I24+I25+I22+I23</f>
        <v>559710697.12</v>
      </c>
      <c r="J27" s="142">
        <f>+J10</f>
        <v>3184000</v>
      </c>
      <c r="K27" s="142">
        <f>+K10+K21+K26</f>
        <v>24308000</v>
      </c>
      <c r="L27" s="142">
        <f>+M27+N27+O27+P27+Q27</f>
        <v>598606183.12</v>
      </c>
      <c r="M27" s="142"/>
      <c r="N27" s="142">
        <f>+N10+N24+N25+N22+N23</f>
        <v>20652226</v>
      </c>
      <c r="O27" s="142">
        <f>+O10+O24+O25+O22+O23</f>
        <v>548689697.12</v>
      </c>
      <c r="P27" s="142">
        <f>+P10</f>
        <v>3184000</v>
      </c>
      <c r="Q27" s="142">
        <f>+Q10+Q21+Q26</f>
        <v>26080260</v>
      </c>
    </row>
    <row r="28" spans="1:17" ht="25.5" customHeight="1">
      <c r="A28" s="220"/>
      <c r="B28" s="220"/>
      <c r="C28" s="220"/>
      <c r="D28" s="220"/>
      <c r="E28" s="220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29" spans="1:5" ht="26.25" customHeight="1">
      <c r="A29" s="55" t="s">
        <v>28</v>
      </c>
      <c r="B29" s="64"/>
      <c r="C29" s="64"/>
      <c r="D29" s="57"/>
      <c r="E29" s="58"/>
    </row>
    <row r="30" spans="1:17" ht="12" customHeight="1">
      <c r="A30" s="285" t="s">
        <v>1</v>
      </c>
      <c r="B30" s="286" t="s">
        <v>29</v>
      </c>
      <c r="C30" s="287" t="s">
        <v>3</v>
      </c>
      <c r="D30" s="288" t="s">
        <v>4</v>
      </c>
      <c r="E30" s="263" t="s">
        <v>5</v>
      </c>
      <c r="F30" s="264" t="s">
        <v>233</v>
      </c>
      <c r="G30" s="264"/>
      <c r="H30" s="264"/>
      <c r="I30" s="264"/>
      <c r="J30" s="264"/>
      <c r="K30" s="264"/>
      <c r="L30" s="265" t="s">
        <v>432</v>
      </c>
      <c r="M30" s="264"/>
      <c r="N30" s="264"/>
      <c r="O30" s="264"/>
      <c r="P30" s="264"/>
      <c r="Q30" s="264"/>
    </row>
    <row r="31" spans="1:17" ht="12" customHeight="1">
      <c r="A31" s="285"/>
      <c r="B31" s="286"/>
      <c r="C31" s="287"/>
      <c r="D31" s="288"/>
      <c r="E31" s="263"/>
      <c r="F31" s="266" t="s">
        <v>6</v>
      </c>
      <c r="G31" s="264" t="s">
        <v>30</v>
      </c>
      <c r="H31" s="264"/>
      <c r="I31" s="264"/>
      <c r="J31" s="264" t="s">
        <v>275</v>
      </c>
      <c r="K31" s="264" t="s">
        <v>8</v>
      </c>
      <c r="L31" s="267" t="s">
        <v>6</v>
      </c>
      <c r="M31" s="264" t="s">
        <v>30</v>
      </c>
      <c r="N31" s="264"/>
      <c r="O31" s="264"/>
      <c r="P31" s="264" t="s">
        <v>275</v>
      </c>
      <c r="Q31" s="264" t="s">
        <v>8</v>
      </c>
    </row>
    <row r="32" spans="1:17" ht="42" customHeight="1">
      <c r="A32" s="285"/>
      <c r="B32" s="286"/>
      <c r="C32" s="287"/>
      <c r="D32" s="288"/>
      <c r="E32" s="263"/>
      <c r="F32" s="266"/>
      <c r="G32" s="152" t="s">
        <v>9</v>
      </c>
      <c r="H32" s="152" t="s">
        <v>10</v>
      </c>
      <c r="I32" s="152" t="s">
        <v>11</v>
      </c>
      <c r="J32" s="264"/>
      <c r="K32" s="264"/>
      <c r="L32" s="267"/>
      <c r="M32" s="152" t="s">
        <v>9</v>
      </c>
      <c r="N32" s="152" t="s">
        <v>10</v>
      </c>
      <c r="O32" s="152" t="s">
        <v>11</v>
      </c>
      <c r="P32" s="264"/>
      <c r="Q32" s="264"/>
    </row>
    <row r="33" spans="1:17" ht="12" customHeight="1">
      <c r="A33" s="46">
        <v>0</v>
      </c>
      <c r="B33" s="46">
        <v>1</v>
      </c>
      <c r="C33" s="46">
        <v>2</v>
      </c>
      <c r="D33" s="46">
        <v>3</v>
      </c>
      <c r="E33" s="96">
        <v>4</v>
      </c>
      <c r="F33" s="125" t="s">
        <v>228</v>
      </c>
      <c r="G33" s="125">
        <v>6</v>
      </c>
      <c r="H33" s="125">
        <v>7</v>
      </c>
      <c r="I33" s="125">
        <v>8</v>
      </c>
      <c r="J33" s="125">
        <v>9</v>
      </c>
      <c r="K33" s="125">
        <v>10</v>
      </c>
      <c r="L33" s="168" t="s">
        <v>331</v>
      </c>
      <c r="M33" s="161">
        <v>12</v>
      </c>
      <c r="N33" s="161">
        <v>13</v>
      </c>
      <c r="O33" s="161">
        <v>14</v>
      </c>
      <c r="P33" s="161">
        <v>15</v>
      </c>
      <c r="Q33" s="161">
        <v>16</v>
      </c>
    </row>
    <row r="34" spans="1:17" ht="21" customHeight="1" thickBot="1">
      <c r="A34" s="289" t="s">
        <v>31</v>
      </c>
      <c r="B34" s="290"/>
      <c r="C34" s="290"/>
      <c r="D34" s="290"/>
      <c r="E34" s="290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ht="28.5" customHeight="1" thickBot="1" thickTop="1">
      <c r="A35" s="130" t="s">
        <v>12</v>
      </c>
      <c r="B35" s="187">
        <v>410000</v>
      </c>
      <c r="C35" s="187"/>
      <c r="D35" s="268" t="s">
        <v>296</v>
      </c>
      <c r="E35" s="269"/>
      <c r="F35" s="179">
        <f>SUM(G35:K35)</f>
        <v>452342449.43999994</v>
      </c>
      <c r="G35" s="179"/>
      <c r="H35" s="179">
        <f>+H36+H38+H42+H44+H53+H57</f>
        <v>8011225.83</v>
      </c>
      <c r="I35" s="179">
        <f>+I36+I38+I42+I44+I53+I57</f>
        <v>438194056.77</v>
      </c>
      <c r="J35" s="179"/>
      <c r="K35" s="179">
        <f>+K36+K38+K42+K44+K53+K57</f>
        <v>6137166.84</v>
      </c>
      <c r="L35" s="179">
        <f>SUM(M35:Q35)</f>
        <v>448718701.43999994</v>
      </c>
      <c r="M35" s="179"/>
      <c r="N35" s="179">
        <f>+N36+N38+N42+N44+N53+N57</f>
        <v>8011225.83</v>
      </c>
      <c r="O35" s="179">
        <f>+O36+O38+O42+O44+O53+O57</f>
        <v>434555056.77</v>
      </c>
      <c r="P35" s="179"/>
      <c r="Q35" s="179">
        <f>+Q36+Q38+Q42+Q44+Q53+Q57</f>
        <v>6152418.84</v>
      </c>
    </row>
    <row r="36" spans="1:17" ht="30" customHeight="1" thickTop="1">
      <c r="A36" s="48">
        <v>1</v>
      </c>
      <c r="B36" s="110">
        <v>411000</v>
      </c>
      <c r="C36" s="113" t="s">
        <v>299</v>
      </c>
      <c r="D36" s="270" t="s">
        <v>32</v>
      </c>
      <c r="E36" s="271"/>
      <c r="F36" s="114">
        <f>SUM(G36:K36)</f>
        <v>355611826</v>
      </c>
      <c r="G36" s="114"/>
      <c r="H36" s="114"/>
      <c r="I36" s="114">
        <f>+I37</f>
        <v>352041826</v>
      </c>
      <c r="J36" s="114"/>
      <c r="K36" s="114">
        <f>+K37</f>
        <v>3570000</v>
      </c>
      <c r="L36" s="114">
        <f>SUM(M36:Q36)</f>
        <v>355221800</v>
      </c>
      <c r="M36" s="114"/>
      <c r="N36" s="114"/>
      <c r="O36" s="114">
        <f>+O37</f>
        <v>351651800</v>
      </c>
      <c r="P36" s="114"/>
      <c r="Q36" s="114">
        <f>+Q37</f>
        <v>3570000</v>
      </c>
    </row>
    <row r="37" spans="1:17" ht="19.5" customHeight="1">
      <c r="A37" s="19"/>
      <c r="B37" s="67"/>
      <c r="C37" s="236" t="s">
        <v>33</v>
      </c>
      <c r="D37" s="200">
        <v>411100</v>
      </c>
      <c r="E37" s="201" t="s">
        <v>34</v>
      </c>
      <c r="F37" s="197">
        <f>SUM(G37:K37)</f>
        <v>355611826</v>
      </c>
      <c r="G37" s="198"/>
      <c r="H37" s="198"/>
      <c r="I37" s="198">
        <v>352041826</v>
      </c>
      <c r="J37" s="198"/>
      <c r="K37" s="198">
        <v>3570000</v>
      </c>
      <c r="L37" s="197">
        <f>SUM(M37:Q37)</f>
        <v>355221800</v>
      </c>
      <c r="M37" s="198"/>
      <c r="N37" s="198"/>
      <c r="O37" s="198">
        <v>351651800</v>
      </c>
      <c r="P37" s="198"/>
      <c r="Q37" s="198">
        <v>3570000</v>
      </c>
    </row>
    <row r="38" spans="1:17" ht="30" customHeight="1">
      <c r="A38" s="8">
        <v>2</v>
      </c>
      <c r="B38" s="1">
        <v>412000</v>
      </c>
      <c r="C38" s="81" t="s">
        <v>263</v>
      </c>
      <c r="D38" s="272" t="s">
        <v>35</v>
      </c>
      <c r="E38" s="291"/>
      <c r="F38" s="78">
        <f>SUM(G38:K38)</f>
        <v>65935174</v>
      </c>
      <c r="G38" s="78"/>
      <c r="H38" s="78"/>
      <c r="I38" s="78">
        <f>+I39+I40+I41</f>
        <v>65305174</v>
      </c>
      <c r="J38" s="78"/>
      <c r="K38" s="78">
        <f>+K39+K40+K41</f>
        <v>630000</v>
      </c>
      <c r="L38" s="78">
        <f>SUM(M38:Q38)</f>
        <v>62686200</v>
      </c>
      <c r="M38" s="78"/>
      <c r="N38" s="78"/>
      <c r="O38" s="78">
        <f>+O39+O40+O41</f>
        <v>62056200</v>
      </c>
      <c r="P38" s="78"/>
      <c r="Q38" s="78">
        <f>+Q39+Q40+Q41</f>
        <v>630000</v>
      </c>
    </row>
    <row r="39" spans="1:17" ht="19.5" customHeight="1">
      <c r="A39" s="47"/>
      <c r="B39" s="65"/>
      <c r="C39" s="237" t="s">
        <v>37</v>
      </c>
      <c r="D39" s="238">
        <v>412100</v>
      </c>
      <c r="E39" s="239" t="s">
        <v>230</v>
      </c>
      <c r="F39" s="197">
        <f>+G39+I39+K39</f>
        <v>44988893</v>
      </c>
      <c r="G39" s="197"/>
      <c r="H39" s="197"/>
      <c r="I39" s="197">
        <v>44560493</v>
      </c>
      <c r="J39" s="197"/>
      <c r="K39" s="197">
        <v>428400</v>
      </c>
      <c r="L39" s="197">
        <f>+M39+O39+Q39</f>
        <v>42771980.09223894</v>
      </c>
      <c r="M39" s="197"/>
      <c r="N39" s="197"/>
      <c r="O39" s="197">
        <v>42343580.09223894</v>
      </c>
      <c r="P39" s="197"/>
      <c r="Q39" s="197">
        <v>428400</v>
      </c>
    </row>
    <row r="40" spans="1:17" ht="19.5" customHeight="1">
      <c r="A40" s="47"/>
      <c r="B40" s="65"/>
      <c r="C40" s="237" t="s">
        <v>284</v>
      </c>
      <c r="D40" s="238">
        <v>412200</v>
      </c>
      <c r="E40" s="239" t="s">
        <v>231</v>
      </c>
      <c r="F40" s="197">
        <f>+G40+I40+K40</f>
        <v>18285376</v>
      </c>
      <c r="G40" s="197"/>
      <c r="H40" s="197"/>
      <c r="I40" s="197">
        <v>18108976</v>
      </c>
      <c r="J40" s="197"/>
      <c r="K40" s="197">
        <v>176400</v>
      </c>
      <c r="L40" s="197">
        <f>+M40+O40+Q40</f>
        <v>17384442.910217192</v>
      </c>
      <c r="M40" s="197"/>
      <c r="N40" s="197"/>
      <c r="O40" s="197">
        <v>17208042.910217192</v>
      </c>
      <c r="P40" s="197"/>
      <c r="Q40" s="197">
        <v>176400</v>
      </c>
    </row>
    <row r="41" spans="1:17" ht="19.5" customHeight="1">
      <c r="A41" s="30"/>
      <c r="B41" s="66"/>
      <c r="C41" s="237" t="s">
        <v>285</v>
      </c>
      <c r="D41" s="238">
        <v>412300</v>
      </c>
      <c r="E41" s="239" t="s">
        <v>232</v>
      </c>
      <c r="F41" s="197">
        <f>+G41+I41+K41</f>
        <v>2660905</v>
      </c>
      <c r="G41" s="197"/>
      <c r="H41" s="197"/>
      <c r="I41" s="197">
        <v>2635705</v>
      </c>
      <c r="J41" s="197"/>
      <c r="K41" s="197">
        <v>25200</v>
      </c>
      <c r="L41" s="197">
        <f>+M41+O41+Q41</f>
        <v>2529776.99754387</v>
      </c>
      <c r="M41" s="197"/>
      <c r="N41" s="197"/>
      <c r="O41" s="197">
        <v>2504576.99754387</v>
      </c>
      <c r="P41" s="197"/>
      <c r="Q41" s="197">
        <v>25200</v>
      </c>
    </row>
    <row r="42" spans="1:17" ht="21" customHeight="1">
      <c r="A42" s="13">
        <v>3</v>
      </c>
      <c r="B42" s="5">
        <v>413000</v>
      </c>
      <c r="C42" s="8" t="s">
        <v>286</v>
      </c>
      <c r="D42" s="272" t="s">
        <v>36</v>
      </c>
      <c r="E42" s="273"/>
      <c r="F42" s="78">
        <f aca="true" t="shared" si="0" ref="F42:F47">SUM(G42:K42)</f>
        <v>264622</v>
      </c>
      <c r="G42" s="78"/>
      <c r="H42" s="78"/>
      <c r="I42" s="78">
        <f>+I43</f>
        <v>254622</v>
      </c>
      <c r="J42" s="78"/>
      <c r="K42" s="78">
        <f>+K43</f>
        <v>10000</v>
      </c>
      <c r="L42" s="78">
        <f aca="true" t="shared" si="1" ref="L42:L47">SUM(M42:Q42)</f>
        <v>279622</v>
      </c>
      <c r="M42" s="78"/>
      <c r="N42" s="78"/>
      <c r="O42" s="78">
        <f>+O43</f>
        <v>254622</v>
      </c>
      <c r="P42" s="78"/>
      <c r="Q42" s="78">
        <f>+Q43</f>
        <v>25000</v>
      </c>
    </row>
    <row r="43" spans="1:17" ht="19.5" customHeight="1">
      <c r="A43" s="14"/>
      <c r="B43" s="57"/>
      <c r="C43" s="240" t="s">
        <v>287</v>
      </c>
      <c r="D43" s="200">
        <v>413151</v>
      </c>
      <c r="E43" s="201" t="s">
        <v>38</v>
      </c>
      <c r="F43" s="197">
        <f t="shared" si="0"/>
        <v>264622</v>
      </c>
      <c r="G43" s="198"/>
      <c r="H43" s="198"/>
      <c r="I43" s="198">
        <f>259000-4378</f>
        <v>254622</v>
      </c>
      <c r="J43" s="198"/>
      <c r="K43" s="198">
        <v>10000</v>
      </c>
      <c r="L43" s="197">
        <f t="shared" si="1"/>
        <v>279622</v>
      </c>
      <c r="M43" s="198"/>
      <c r="N43" s="198"/>
      <c r="O43" s="198">
        <f>259000-4378</f>
        <v>254622</v>
      </c>
      <c r="P43" s="198"/>
      <c r="Q43" s="198">
        <v>25000</v>
      </c>
    </row>
    <row r="44" spans="1:17" ht="19.5" customHeight="1">
      <c r="A44" s="49">
        <v>4</v>
      </c>
      <c r="B44" s="23">
        <v>414000</v>
      </c>
      <c r="C44" s="33" t="s">
        <v>298</v>
      </c>
      <c r="D44" s="272" t="s">
        <v>39</v>
      </c>
      <c r="E44" s="273"/>
      <c r="F44" s="78">
        <f t="shared" si="0"/>
        <v>13351627.11</v>
      </c>
      <c r="G44" s="78"/>
      <c r="H44" s="78">
        <f>+H45+H48</f>
        <v>8011225.83</v>
      </c>
      <c r="I44" s="78">
        <f>+I45+I48</f>
        <v>4123234.44</v>
      </c>
      <c r="J44" s="78"/>
      <c r="K44" s="78">
        <f>+K45+K48+K51</f>
        <v>1217166.8399999999</v>
      </c>
      <c r="L44" s="78">
        <f t="shared" si="1"/>
        <v>13351879.11</v>
      </c>
      <c r="M44" s="78"/>
      <c r="N44" s="78">
        <f>+N45+N48</f>
        <v>8011225.83</v>
      </c>
      <c r="O44" s="78">
        <f>+O45+O48</f>
        <v>4123234.44</v>
      </c>
      <c r="P44" s="78"/>
      <c r="Q44" s="78">
        <f>+Q45+Q48+Q51</f>
        <v>1217418.8399999999</v>
      </c>
    </row>
    <row r="45" spans="1:17" ht="24.75" customHeight="1">
      <c r="A45" s="103"/>
      <c r="B45" s="4"/>
      <c r="C45" s="33" t="s">
        <v>288</v>
      </c>
      <c r="D45" s="4">
        <v>414100</v>
      </c>
      <c r="E45" s="89" t="s">
        <v>40</v>
      </c>
      <c r="F45" s="78">
        <f t="shared" si="0"/>
        <v>10386366.5</v>
      </c>
      <c r="G45" s="78"/>
      <c r="H45" s="78">
        <f>+H46</f>
        <v>8011225.83</v>
      </c>
      <c r="I45" s="78">
        <f>+I46+I47</f>
        <v>1442364.44</v>
      </c>
      <c r="J45" s="78"/>
      <c r="K45" s="78">
        <f>+K46+K47</f>
        <v>932776.23</v>
      </c>
      <c r="L45" s="78">
        <f t="shared" si="1"/>
        <v>10386366.5</v>
      </c>
      <c r="M45" s="78"/>
      <c r="N45" s="78">
        <f>+N46</f>
        <v>8011225.83</v>
      </c>
      <c r="O45" s="78">
        <f>+O46+O47</f>
        <v>1442364.44</v>
      </c>
      <c r="P45" s="78"/>
      <c r="Q45" s="78">
        <f>+Q46+Q47</f>
        <v>932776.23</v>
      </c>
    </row>
    <row r="46" spans="1:17" ht="19.5" customHeight="1">
      <c r="A46" s="292"/>
      <c r="B46" s="102"/>
      <c r="C46" s="105" t="s">
        <v>289</v>
      </c>
      <c r="D46" s="40">
        <v>414111</v>
      </c>
      <c r="E46" s="87" t="s">
        <v>41</v>
      </c>
      <c r="F46" s="79">
        <f t="shared" si="0"/>
        <v>8788880.57</v>
      </c>
      <c r="G46" s="78"/>
      <c r="H46" s="79">
        <f>8788880.57-777654.74</f>
        <v>8011225.83</v>
      </c>
      <c r="I46" s="106"/>
      <c r="J46" s="78"/>
      <c r="K46" s="106">
        <v>777654.74</v>
      </c>
      <c r="L46" s="79">
        <f t="shared" si="1"/>
        <v>8788880.57</v>
      </c>
      <c r="M46" s="78"/>
      <c r="N46" s="79">
        <f>8788880.57-777654.74</f>
        <v>8011225.83</v>
      </c>
      <c r="O46" s="106"/>
      <c r="P46" s="78"/>
      <c r="Q46" s="106">
        <v>777654.74</v>
      </c>
    </row>
    <row r="47" spans="1:17" ht="19.5" customHeight="1">
      <c r="A47" s="292"/>
      <c r="B47" s="102"/>
      <c r="C47" s="105" t="s">
        <v>290</v>
      </c>
      <c r="D47" s="40">
        <v>414121</v>
      </c>
      <c r="E47" s="87" t="s">
        <v>42</v>
      </c>
      <c r="F47" s="79">
        <f t="shared" si="0"/>
        <v>1597485.93</v>
      </c>
      <c r="G47" s="78"/>
      <c r="H47" s="78"/>
      <c r="I47" s="79">
        <f>1597736-155121.49-250.07</f>
        <v>1442364.44</v>
      </c>
      <c r="J47" s="78"/>
      <c r="K47" s="79">
        <v>155121.49</v>
      </c>
      <c r="L47" s="79">
        <f t="shared" si="1"/>
        <v>1597485.93</v>
      </c>
      <c r="M47" s="78"/>
      <c r="N47" s="78"/>
      <c r="O47" s="79">
        <f>1597736-155121.49-250.07</f>
        <v>1442364.44</v>
      </c>
      <c r="P47" s="78"/>
      <c r="Q47" s="79">
        <v>155121.49</v>
      </c>
    </row>
    <row r="48" spans="1:17" ht="19.5" customHeight="1">
      <c r="A48" s="104"/>
      <c r="B48" s="101"/>
      <c r="C48" s="8" t="s">
        <v>47</v>
      </c>
      <c r="D48" s="4">
        <v>414300</v>
      </c>
      <c r="E48" s="88" t="s">
        <v>293</v>
      </c>
      <c r="F48" s="78">
        <f>+G48+H48+I48+J48+K48</f>
        <v>2928260.61</v>
      </c>
      <c r="G48" s="78"/>
      <c r="H48" s="78"/>
      <c r="I48" s="78">
        <f>+I49+I50</f>
        <v>2680870</v>
      </c>
      <c r="J48" s="78"/>
      <c r="K48" s="78">
        <f>+K49</f>
        <v>247390.61</v>
      </c>
      <c r="L48" s="78">
        <f>+M48+N48+O48+P48+Q48</f>
        <v>2928260.61</v>
      </c>
      <c r="M48" s="78"/>
      <c r="N48" s="78"/>
      <c r="O48" s="78">
        <f>+O49+O50</f>
        <v>2680870</v>
      </c>
      <c r="P48" s="78"/>
      <c r="Q48" s="78">
        <f>+Q49</f>
        <v>247390.61</v>
      </c>
    </row>
    <row r="49" spans="1:17" ht="19.5" customHeight="1">
      <c r="A49" s="26"/>
      <c r="B49" s="67"/>
      <c r="C49" s="99" t="s">
        <v>291</v>
      </c>
      <c r="D49" s="40">
        <v>414311</v>
      </c>
      <c r="E49" s="86" t="s">
        <v>43</v>
      </c>
      <c r="F49" s="106">
        <f>SUM(G49:K49)</f>
        <v>2857260.61</v>
      </c>
      <c r="G49" s="107"/>
      <c r="H49" s="107"/>
      <c r="I49" s="107">
        <f>2400000+209870</f>
        <v>2609870</v>
      </c>
      <c r="J49" s="27"/>
      <c r="K49" s="27">
        <v>247390.61</v>
      </c>
      <c r="L49" s="106">
        <f>SUM(M49:Q49)</f>
        <v>2857260.61</v>
      </c>
      <c r="M49" s="107"/>
      <c r="N49" s="107"/>
      <c r="O49" s="107">
        <f>2400000+209870</f>
        <v>2609870</v>
      </c>
      <c r="P49" s="27"/>
      <c r="Q49" s="27">
        <v>247390.61</v>
      </c>
    </row>
    <row r="50" spans="1:17" ht="28.5" customHeight="1">
      <c r="A50" s="26"/>
      <c r="B50" s="69"/>
      <c r="C50" s="99" t="s">
        <v>292</v>
      </c>
      <c r="D50" s="40">
        <v>414314</v>
      </c>
      <c r="E50" s="86" t="s">
        <v>44</v>
      </c>
      <c r="F50" s="106">
        <f>SUM(G50:K50)</f>
        <v>71000</v>
      </c>
      <c r="G50" s="107"/>
      <c r="H50" s="107"/>
      <c r="I50" s="107">
        <v>71000</v>
      </c>
      <c r="J50" s="27"/>
      <c r="K50" s="27"/>
      <c r="L50" s="106">
        <f>SUM(M50:Q50)</f>
        <v>71000</v>
      </c>
      <c r="M50" s="107"/>
      <c r="N50" s="107"/>
      <c r="O50" s="107">
        <v>71000</v>
      </c>
      <c r="P50" s="27"/>
      <c r="Q50" s="27"/>
    </row>
    <row r="51" spans="1:17" ht="28.5" customHeight="1">
      <c r="A51" s="26"/>
      <c r="B51" s="69"/>
      <c r="C51" s="8" t="s">
        <v>400</v>
      </c>
      <c r="D51" s="4">
        <v>414400</v>
      </c>
      <c r="E51" s="214" t="s">
        <v>399</v>
      </c>
      <c r="F51" s="78">
        <f>+F52</f>
        <v>37000</v>
      </c>
      <c r="G51" s="11"/>
      <c r="H51" s="11"/>
      <c r="I51" s="11"/>
      <c r="J51" s="11"/>
      <c r="K51" s="11">
        <f>+K52</f>
        <v>37000</v>
      </c>
      <c r="L51" s="78">
        <f>+L52</f>
        <v>37252</v>
      </c>
      <c r="M51" s="11"/>
      <c r="N51" s="11"/>
      <c r="O51" s="11"/>
      <c r="P51" s="11"/>
      <c r="Q51" s="11">
        <f>+Q52</f>
        <v>37252</v>
      </c>
    </row>
    <row r="52" spans="1:17" ht="25.5" customHeight="1">
      <c r="A52" s="26"/>
      <c r="B52" s="32"/>
      <c r="C52" s="240" t="s">
        <v>401</v>
      </c>
      <c r="D52" s="200">
        <v>414411</v>
      </c>
      <c r="E52" s="196" t="s">
        <v>396</v>
      </c>
      <c r="F52" s="205">
        <f aca="true" t="shared" si="2" ref="F52:F59">SUM(G52:K52)</f>
        <v>37000</v>
      </c>
      <c r="G52" s="228"/>
      <c r="H52" s="228"/>
      <c r="I52" s="228"/>
      <c r="J52" s="198"/>
      <c r="K52" s="198">
        <v>37000</v>
      </c>
      <c r="L52" s="205">
        <f aca="true" t="shared" si="3" ref="L52:L59">SUM(M52:Q52)</f>
        <v>37252</v>
      </c>
      <c r="M52" s="228"/>
      <c r="N52" s="228"/>
      <c r="O52" s="228"/>
      <c r="P52" s="198"/>
      <c r="Q52" s="198">
        <v>37252</v>
      </c>
    </row>
    <row r="53" spans="1:17" ht="18.75" customHeight="1">
      <c r="A53" s="8">
        <v>5</v>
      </c>
      <c r="B53" s="4">
        <v>415000</v>
      </c>
      <c r="C53" s="8" t="s">
        <v>264</v>
      </c>
      <c r="D53" s="293" t="s">
        <v>45</v>
      </c>
      <c r="E53" s="293"/>
      <c r="F53" s="78">
        <f t="shared" si="2"/>
        <v>11297349</v>
      </c>
      <c r="G53" s="78"/>
      <c r="H53" s="78"/>
      <c r="I53" s="78">
        <f>+I54+I55+I56</f>
        <v>10767349</v>
      </c>
      <c r="J53" s="78"/>
      <c r="K53" s="78">
        <f>+K54+K55+K56</f>
        <v>530000</v>
      </c>
      <c r="L53" s="78">
        <f t="shared" si="3"/>
        <v>11297349</v>
      </c>
      <c r="M53" s="78"/>
      <c r="N53" s="78"/>
      <c r="O53" s="78">
        <f>+O54+O55+O56</f>
        <v>10767349</v>
      </c>
      <c r="P53" s="78"/>
      <c r="Q53" s="78">
        <f>+Q54+Q55+Q56</f>
        <v>530000</v>
      </c>
    </row>
    <row r="54" spans="1:17" ht="19.5" customHeight="1">
      <c r="A54" s="294"/>
      <c r="B54" s="295"/>
      <c r="C54" s="108" t="s">
        <v>50</v>
      </c>
      <c r="D54" s="15">
        <v>415111</v>
      </c>
      <c r="E54" s="86" t="s">
        <v>46</v>
      </c>
      <c r="F54" s="79">
        <f t="shared" si="2"/>
        <v>400000</v>
      </c>
      <c r="G54" s="12"/>
      <c r="H54" s="12"/>
      <c r="I54" s="12"/>
      <c r="J54" s="12"/>
      <c r="K54" s="12">
        <v>400000</v>
      </c>
      <c r="L54" s="79">
        <f t="shared" si="3"/>
        <v>400000</v>
      </c>
      <c r="M54" s="12"/>
      <c r="N54" s="12"/>
      <c r="O54" s="12"/>
      <c r="P54" s="12"/>
      <c r="Q54" s="12">
        <v>400000</v>
      </c>
    </row>
    <row r="55" spans="1:17" ht="19.5" customHeight="1">
      <c r="A55" s="292"/>
      <c r="B55" s="296"/>
      <c r="C55" s="111" t="s">
        <v>52</v>
      </c>
      <c r="D55" s="40">
        <v>415112</v>
      </c>
      <c r="E55" s="86" t="s">
        <v>48</v>
      </c>
      <c r="F55" s="79">
        <f t="shared" si="2"/>
        <v>10505349</v>
      </c>
      <c r="G55" s="27"/>
      <c r="H55" s="27"/>
      <c r="I55" s="27">
        <f>10370971+4378</f>
        <v>10375349</v>
      </c>
      <c r="J55" s="27"/>
      <c r="K55" s="27">
        <v>130000</v>
      </c>
      <c r="L55" s="79">
        <f t="shared" si="3"/>
        <v>10505349</v>
      </c>
      <c r="M55" s="27"/>
      <c r="N55" s="27"/>
      <c r="O55" s="27">
        <f>10370971+4378</f>
        <v>10375349</v>
      </c>
      <c r="P55" s="27"/>
      <c r="Q55" s="27">
        <v>130000</v>
      </c>
    </row>
    <row r="56" spans="1:17" ht="19.5" customHeight="1">
      <c r="A56" s="109"/>
      <c r="B56" s="94"/>
      <c r="C56" s="111" t="s">
        <v>243</v>
      </c>
      <c r="D56" s="40">
        <v>4151121</v>
      </c>
      <c r="E56" s="86" t="s">
        <v>246</v>
      </c>
      <c r="F56" s="79">
        <f t="shared" si="2"/>
        <v>392000</v>
      </c>
      <c r="G56" s="27"/>
      <c r="H56" s="27"/>
      <c r="I56" s="31">
        <v>392000</v>
      </c>
      <c r="J56" s="31"/>
      <c r="K56" s="31"/>
      <c r="L56" s="79">
        <f t="shared" si="3"/>
        <v>392000</v>
      </c>
      <c r="M56" s="27"/>
      <c r="N56" s="27"/>
      <c r="O56" s="31">
        <v>392000</v>
      </c>
      <c r="P56" s="31"/>
      <c r="Q56" s="31"/>
    </row>
    <row r="57" spans="1:17" ht="21" customHeight="1">
      <c r="A57" s="48">
        <v>6</v>
      </c>
      <c r="B57" s="5">
        <v>416000</v>
      </c>
      <c r="C57" s="8" t="s">
        <v>297</v>
      </c>
      <c r="D57" s="272" t="s">
        <v>49</v>
      </c>
      <c r="E57" s="273"/>
      <c r="F57" s="78">
        <f t="shared" si="2"/>
        <v>5881851.33</v>
      </c>
      <c r="G57" s="78"/>
      <c r="H57" s="78"/>
      <c r="I57" s="78">
        <f>+I58+I59</f>
        <v>5701851.33</v>
      </c>
      <c r="J57" s="78"/>
      <c r="K57" s="78">
        <f>+K58+K59</f>
        <v>180000</v>
      </c>
      <c r="L57" s="78">
        <f t="shared" si="3"/>
        <v>5881851.33</v>
      </c>
      <c r="M57" s="78"/>
      <c r="N57" s="78"/>
      <c r="O57" s="78">
        <f>+O58+O59</f>
        <v>5701851.33</v>
      </c>
      <c r="P57" s="78"/>
      <c r="Q57" s="78">
        <f>+Q58+Q59</f>
        <v>180000</v>
      </c>
    </row>
    <row r="58" spans="1:17" ht="19.5" customHeight="1">
      <c r="A58" s="49"/>
      <c r="B58" s="36"/>
      <c r="C58" s="100" t="s">
        <v>294</v>
      </c>
      <c r="D58" s="40">
        <v>416111</v>
      </c>
      <c r="E58" s="86" t="s">
        <v>51</v>
      </c>
      <c r="F58" s="79">
        <f t="shared" si="2"/>
        <v>5701851.33</v>
      </c>
      <c r="G58" s="27"/>
      <c r="H58" s="27"/>
      <c r="I58" s="27">
        <f>4611721.67+1090129.66</f>
        <v>5701851.33</v>
      </c>
      <c r="J58" s="27"/>
      <c r="K58" s="27"/>
      <c r="L58" s="79">
        <f t="shared" si="3"/>
        <v>5701851.33</v>
      </c>
      <c r="M58" s="27"/>
      <c r="N58" s="27"/>
      <c r="O58" s="27">
        <f>4611721.67+1090129.66</f>
        <v>5701851.33</v>
      </c>
      <c r="P58" s="27"/>
      <c r="Q58" s="27"/>
    </row>
    <row r="59" spans="1:17" ht="19.5" customHeight="1" thickBot="1">
      <c r="A59" s="47"/>
      <c r="B59" s="57"/>
      <c r="C59" s="115" t="s">
        <v>295</v>
      </c>
      <c r="D59" s="93">
        <v>416131</v>
      </c>
      <c r="E59" s="90" t="s">
        <v>240</v>
      </c>
      <c r="F59" s="116">
        <f t="shared" si="2"/>
        <v>180000</v>
      </c>
      <c r="G59" s="117"/>
      <c r="H59" s="117"/>
      <c r="I59" s="117"/>
      <c r="J59" s="117"/>
      <c r="K59" s="117">
        <v>180000</v>
      </c>
      <c r="L59" s="116">
        <f t="shared" si="3"/>
        <v>180000</v>
      </c>
      <c r="M59" s="117"/>
      <c r="N59" s="117"/>
      <c r="O59" s="117"/>
      <c r="P59" s="117"/>
      <c r="Q59" s="117">
        <v>180000</v>
      </c>
    </row>
    <row r="60" spans="1:17" ht="24" customHeight="1" thickBot="1" thickTop="1">
      <c r="A60" s="130" t="s">
        <v>25</v>
      </c>
      <c r="B60" s="187">
        <v>420000</v>
      </c>
      <c r="C60" s="187"/>
      <c r="D60" s="268" t="s">
        <v>53</v>
      </c>
      <c r="E60" s="269"/>
      <c r="F60" s="179">
        <f>+F61+F90+F98+F121+F159+F129</f>
        <v>135659904</v>
      </c>
      <c r="G60" s="179"/>
      <c r="H60" s="179">
        <f>+H61+H90+H98+H121+H159+H129</f>
        <v>1200000</v>
      </c>
      <c r="I60" s="179">
        <f>+I61+I90+I98+I121+I159+I129</f>
        <v>117591281</v>
      </c>
      <c r="J60" s="179">
        <f>+J61+J90+J98+J121+J159+J129</f>
        <v>2036626</v>
      </c>
      <c r="K60" s="179">
        <f>+K61+K90+K98+K121+K159+K129</f>
        <v>14831997</v>
      </c>
      <c r="L60" s="179">
        <f>+L61+L90+L98+L121+L159+L129</f>
        <v>131471905</v>
      </c>
      <c r="M60" s="179"/>
      <c r="N60" s="179">
        <f>+N61+N90+N98+N121+N159+N129</f>
        <v>1200000</v>
      </c>
      <c r="O60" s="179">
        <f>+O61+O90+O98+O121+O159+O129</f>
        <v>110335282</v>
      </c>
      <c r="P60" s="179">
        <f>+P61+P90+P98+P121+P159+P129</f>
        <v>2563618</v>
      </c>
      <c r="Q60" s="179">
        <f>+Q61+Q90+Q98+Q121+Q159+Q129</f>
        <v>17373005</v>
      </c>
    </row>
    <row r="61" spans="1:17" ht="24.75" customHeight="1" thickTop="1">
      <c r="A61" s="97">
        <v>1</v>
      </c>
      <c r="B61" s="5">
        <v>421000</v>
      </c>
      <c r="C61" s="24"/>
      <c r="D61" s="297" t="s">
        <v>54</v>
      </c>
      <c r="E61" s="298"/>
      <c r="F61" s="114">
        <f>+F62+F65+F70+F75+F83+F89</f>
        <v>26094749</v>
      </c>
      <c r="G61" s="114"/>
      <c r="H61" s="114"/>
      <c r="I61" s="114">
        <f>+I62+I65+I70+I75+I83+I88</f>
        <v>21674749</v>
      </c>
      <c r="J61" s="114"/>
      <c r="K61" s="114">
        <f>+K62+K65+K70+K75+K83+K89</f>
        <v>4420000</v>
      </c>
      <c r="L61" s="114">
        <f>+L62+L65+L70+L75+L83+L89</f>
        <v>24050749</v>
      </c>
      <c r="M61" s="114"/>
      <c r="N61" s="114"/>
      <c r="O61" s="114">
        <f>+O62+O65+O70+O75+O83+O88</f>
        <v>19847749</v>
      </c>
      <c r="P61" s="114"/>
      <c r="Q61" s="114">
        <f>+Q62+Q65+Q70+Q75+Q83+Q89</f>
        <v>4203000</v>
      </c>
    </row>
    <row r="62" spans="1:17" ht="24.75" customHeight="1">
      <c r="A62" s="67"/>
      <c r="B62" s="57"/>
      <c r="C62" s="2" t="s">
        <v>300</v>
      </c>
      <c r="D62" s="4">
        <v>421100</v>
      </c>
      <c r="E62" s="16" t="s">
        <v>55</v>
      </c>
      <c r="F62" s="78">
        <f aca="true" t="shared" si="4" ref="F62:F69">SUM(G62:K62)</f>
        <v>900000</v>
      </c>
      <c r="G62" s="80"/>
      <c r="H62" s="80"/>
      <c r="I62" s="80">
        <f>+I63+I64</f>
        <v>720000</v>
      </c>
      <c r="J62" s="80"/>
      <c r="K62" s="80">
        <f>+K63+K64</f>
        <v>180000</v>
      </c>
      <c r="L62" s="78">
        <f aca="true" t="shared" si="5" ref="L62:L69">SUM(M62:Q62)</f>
        <v>900000</v>
      </c>
      <c r="M62" s="80"/>
      <c r="N62" s="80"/>
      <c r="O62" s="80">
        <f>+O63+O64</f>
        <v>720000</v>
      </c>
      <c r="P62" s="80"/>
      <c r="Q62" s="80">
        <f>+Q63+Q64</f>
        <v>180000</v>
      </c>
    </row>
    <row r="63" spans="1:17" ht="19.5" customHeight="1">
      <c r="A63" s="68"/>
      <c r="B63" s="299"/>
      <c r="C63" s="148" t="s">
        <v>301</v>
      </c>
      <c r="D63" s="40">
        <v>421111</v>
      </c>
      <c r="E63" s="86" t="s">
        <v>57</v>
      </c>
      <c r="F63" s="79">
        <f t="shared" si="4"/>
        <v>830000</v>
      </c>
      <c r="G63" s="27"/>
      <c r="H63" s="27"/>
      <c r="I63" s="27">
        <v>650000</v>
      </c>
      <c r="J63" s="27"/>
      <c r="K63" s="27">
        <v>180000</v>
      </c>
      <c r="L63" s="79">
        <f t="shared" si="5"/>
        <v>830000</v>
      </c>
      <c r="M63" s="27"/>
      <c r="N63" s="27"/>
      <c r="O63" s="27">
        <v>650000</v>
      </c>
      <c r="P63" s="27"/>
      <c r="Q63" s="27">
        <v>180000</v>
      </c>
    </row>
    <row r="64" spans="1:17" ht="19.5" customHeight="1">
      <c r="A64" s="68"/>
      <c r="B64" s="300"/>
      <c r="C64" s="148" t="s">
        <v>56</v>
      </c>
      <c r="D64" s="40">
        <v>421121</v>
      </c>
      <c r="E64" s="86" t="s">
        <v>58</v>
      </c>
      <c r="F64" s="79">
        <f t="shared" si="4"/>
        <v>70000</v>
      </c>
      <c r="G64" s="27"/>
      <c r="H64" s="27"/>
      <c r="I64" s="27">
        <v>70000</v>
      </c>
      <c r="J64" s="27"/>
      <c r="K64" s="27"/>
      <c r="L64" s="79">
        <f t="shared" si="5"/>
        <v>70000</v>
      </c>
      <c r="M64" s="27"/>
      <c r="N64" s="27"/>
      <c r="O64" s="27">
        <v>70000</v>
      </c>
      <c r="P64" s="27"/>
      <c r="Q64" s="27"/>
    </row>
    <row r="65" spans="1:17" ht="24.75" customHeight="1">
      <c r="A65" s="68"/>
      <c r="B65" s="57"/>
      <c r="C65" s="2" t="s">
        <v>59</v>
      </c>
      <c r="D65" s="4">
        <v>421200</v>
      </c>
      <c r="E65" s="16" t="s">
        <v>60</v>
      </c>
      <c r="F65" s="78">
        <f t="shared" si="4"/>
        <v>16432000</v>
      </c>
      <c r="G65" s="11"/>
      <c r="H65" s="11"/>
      <c r="I65" s="11">
        <f>+I66+I67+I68+I69</f>
        <v>14752000</v>
      </c>
      <c r="J65" s="11"/>
      <c r="K65" s="11">
        <f>+K66+K67+K68+K69</f>
        <v>1680000</v>
      </c>
      <c r="L65" s="78">
        <f t="shared" si="5"/>
        <v>14432000</v>
      </c>
      <c r="M65" s="11"/>
      <c r="N65" s="11"/>
      <c r="O65" s="11">
        <f>+O66+O67+O68+O69</f>
        <v>12752000</v>
      </c>
      <c r="P65" s="11"/>
      <c r="Q65" s="11">
        <f>+Q66+Q67+Q68+Q69</f>
        <v>1680000</v>
      </c>
    </row>
    <row r="66" spans="1:17" ht="19.5" customHeight="1">
      <c r="A66" s="68"/>
      <c r="B66" s="299"/>
      <c r="C66" s="241" t="s">
        <v>61</v>
      </c>
      <c r="D66" s="200">
        <v>421211</v>
      </c>
      <c r="E66" s="201" t="s">
        <v>62</v>
      </c>
      <c r="F66" s="197">
        <f t="shared" si="4"/>
        <v>9555000</v>
      </c>
      <c r="G66" s="198"/>
      <c r="H66" s="198"/>
      <c r="I66" s="198">
        <f>8045000-255000+440000+255000+1000000-400000</f>
        <v>9085000</v>
      </c>
      <c r="J66" s="198"/>
      <c r="K66" s="198">
        <v>470000</v>
      </c>
      <c r="L66" s="197">
        <f t="shared" si="5"/>
        <v>8705000</v>
      </c>
      <c r="M66" s="198"/>
      <c r="N66" s="198"/>
      <c r="O66" s="198">
        <f>8045000-255000+440000+255000+1000000-400000-1000000+150000</f>
        <v>8235000</v>
      </c>
      <c r="P66" s="198"/>
      <c r="Q66" s="198">
        <v>470000</v>
      </c>
    </row>
    <row r="67" spans="1:17" ht="19.5" customHeight="1">
      <c r="A67" s="68"/>
      <c r="B67" s="301"/>
      <c r="C67" s="241" t="s">
        <v>63</v>
      </c>
      <c r="D67" s="200">
        <v>421221</v>
      </c>
      <c r="E67" s="201" t="s">
        <v>64</v>
      </c>
      <c r="F67" s="197">
        <f t="shared" si="4"/>
        <v>4380000</v>
      </c>
      <c r="G67" s="198"/>
      <c r="H67" s="198"/>
      <c r="I67" s="198">
        <f>3300000-500000+500000+870000-400000-400000</f>
        <v>3370000</v>
      </c>
      <c r="J67" s="198"/>
      <c r="K67" s="198">
        <v>1010000</v>
      </c>
      <c r="L67" s="197">
        <f t="shared" si="5"/>
        <v>3530000</v>
      </c>
      <c r="M67" s="198"/>
      <c r="N67" s="198"/>
      <c r="O67" s="198">
        <f>3300000-500000+500000+870000-400000-400000-1000000+150000</f>
        <v>2520000</v>
      </c>
      <c r="P67" s="198"/>
      <c r="Q67" s="198">
        <v>1010000</v>
      </c>
    </row>
    <row r="68" spans="1:17" ht="19.5" customHeight="1">
      <c r="A68" s="68"/>
      <c r="B68" s="301"/>
      <c r="C68" s="241" t="s">
        <v>65</v>
      </c>
      <c r="D68" s="200">
        <v>421224</v>
      </c>
      <c r="E68" s="201" t="s">
        <v>67</v>
      </c>
      <c r="F68" s="197">
        <f t="shared" si="4"/>
        <v>1597000</v>
      </c>
      <c r="G68" s="198"/>
      <c r="H68" s="198"/>
      <c r="I68" s="198">
        <f>780000+800000-183000</f>
        <v>1397000</v>
      </c>
      <c r="J68" s="198"/>
      <c r="K68" s="198">
        <v>200000</v>
      </c>
      <c r="L68" s="197">
        <f t="shared" si="5"/>
        <v>1297000</v>
      </c>
      <c r="M68" s="198"/>
      <c r="N68" s="198"/>
      <c r="O68" s="198">
        <f>780000+800000-183000-300000</f>
        <v>1097000</v>
      </c>
      <c r="P68" s="198"/>
      <c r="Q68" s="198">
        <v>200000</v>
      </c>
    </row>
    <row r="69" spans="1:17" ht="19.5" customHeight="1">
      <c r="A69" s="68"/>
      <c r="B69" s="301"/>
      <c r="C69" s="10" t="s">
        <v>66</v>
      </c>
      <c r="D69" s="40">
        <v>421225</v>
      </c>
      <c r="E69" s="86" t="s">
        <v>68</v>
      </c>
      <c r="F69" s="79">
        <f t="shared" si="4"/>
        <v>900000</v>
      </c>
      <c r="G69" s="27"/>
      <c r="H69" s="27"/>
      <c r="I69" s="27">
        <v>900000</v>
      </c>
      <c r="J69" s="27"/>
      <c r="K69" s="27"/>
      <c r="L69" s="79">
        <f t="shared" si="5"/>
        <v>900000</v>
      </c>
      <c r="M69" s="27"/>
      <c r="N69" s="27"/>
      <c r="O69" s="27">
        <v>900000</v>
      </c>
      <c r="P69" s="27"/>
      <c r="Q69" s="27"/>
    </row>
    <row r="70" spans="1:17" ht="21" customHeight="1">
      <c r="A70" s="68"/>
      <c r="B70" s="32"/>
      <c r="C70" s="17" t="s">
        <v>69</v>
      </c>
      <c r="D70" s="4">
        <v>421300</v>
      </c>
      <c r="E70" s="16" t="s">
        <v>70</v>
      </c>
      <c r="F70" s="78">
        <f aca="true" t="shared" si="6" ref="F70:F75">SUM(G70:K70)</f>
        <v>4747414</v>
      </c>
      <c r="G70" s="11"/>
      <c r="H70" s="11"/>
      <c r="I70" s="11">
        <f>+I71+I72+I73</f>
        <v>2777414</v>
      </c>
      <c r="J70" s="11"/>
      <c r="K70" s="11">
        <f>+K71+K72+K73+K74</f>
        <v>1970000</v>
      </c>
      <c r="L70" s="78">
        <f aca="true" t="shared" si="7" ref="L70:L75">SUM(M70:Q70)</f>
        <v>4237414</v>
      </c>
      <c r="M70" s="11"/>
      <c r="N70" s="11"/>
      <c r="O70" s="11">
        <f>+O71+O72+O73</f>
        <v>2567414</v>
      </c>
      <c r="P70" s="11"/>
      <c r="Q70" s="11">
        <f>+Q71+Q72+Q73+Q74</f>
        <v>1670000</v>
      </c>
    </row>
    <row r="71" spans="1:17" ht="19.5" customHeight="1">
      <c r="A71" s="68"/>
      <c r="B71" s="299"/>
      <c r="C71" s="10" t="s">
        <v>71</v>
      </c>
      <c r="D71" s="40">
        <v>421311</v>
      </c>
      <c r="E71" s="86" t="s">
        <v>72</v>
      </c>
      <c r="F71" s="79">
        <f t="shared" si="6"/>
        <v>1237414</v>
      </c>
      <c r="G71" s="27"/>
      <c r="H71" s="27"/>
      <c r="I71" s="27">
        <f>1128000-150000-4224+113638</f>
        <v>1087414</v>
      </c>
      <c r="J71" s="27"/>
      <c r="K71" s="27">
        <v>150000</v>
      </c>
      <c r="L71" s="79">
        <f t="shared" si="7"/>
        <v>1237414</v>
      </c>
      <c r="M71" s="27"/>
      <c r="N71" s="27"/>
      <c r="O71" s="27">
        <f>1128000-150000-4224+113638</f>
        <v>1087414</v>
      </c>
      <c r="P71" s="27"/>
      <c r="Q71" s="27">
        <v>150000</v>
      </c>
    </row>
    <row r="72" spans="1:17" ht="19.5" customHeight="1">
      <c r="A72" s="68"/>
      <c r="B72" s="301"/>
      <c r="C72" s="10" t="s">
        <v>73</v>
      </c>
      <c r="D72" s="40">
        <v>421324</v>
      </c>
      <c r="E72" s="86" t="s">
        <v>74</v>
      </c>
      <c r="F72" s="79">
        <f t="shared" si="6"/>
        <v>550000</v>
      </c>
      <c r="G72" s="27"/>
      <c r="H72" s="27"/>
      <c r="I72" s="27">
        <f>550000-20000</f>
        <v>530000</v>
      </c>
      <c r="J72" s="27"/>
      <c r="K72" s="27">
        <v>20000</v>
      </c>
      <c r="L72" s="79">
        <f t="shared" si="7"/>
        <v>550000</v>
      </c>
      <c r="M72" s="27"/>
      <c r="N72" s="27"/>
      <c r="O72" s="27">
        <f>550000-20000</f>
        <v>530000</v>
      </c>
      <c r="P72" s="27"/>
      <c r="Q72" s="27">
        <v>20000</v>
      </c>
    </row>
    <row r="73" spans="1:17" ht="19.5" customHeight="1">
      <c r="A73" s="68"/>
      <c r="B73" s="301"/>
      <c r="C73" s="241" t="s">
        <v>75</v>
      </c>
      <c r="D73" s="200">
        <v>4213241</v>
      </c>
      <c r="E73" s="203" t="s">
        <v>337</v>
      </c>
      <c r="F73" s="197">
        <f t="shared" si="6"/>
        <v>1160000</v>
      </c>
      <c r="G73" s="198"/>
      <c r="H73" s="198"/>
      <c r="I73" s="198">
        <f>1100000+60000</f>
        <v>1160000</v>
      </c>
      <c r="J73" s="198"/>
      <c r="K73" s="198"/>
      <c r="L73" s="197">
        <f t="shared" si="7"/>
        <v>950000</v>
      </c>
      <c r="M73" s="198"/>
      <c r="N73" s="198"/>
      <c r="O73" s="198">
        <v>950000</v>
      </c>
      <c r="P73" s="198"/>
      <c r="Q73" s="198"/>
    </row>
    <row r="74" spans="1:17" ht="19.5" customHeight="1">
      <c r="A74" s="68"/>
      <c r="B74" s="22"/>
      <c r="C74" s="241" t="s">
        <v>426</v>
      </c>
      <c r="D74" s="200">
        <v>421325</v>
      </c>
      <c r="E74" s="203" t="s">
        <v>427</v>
      </c>
      <c r="F74" s="197">
        <f t="shared" si="6"/>
        <v>1800000</v>
      </c>
      <c r="G74" s="198"/>
      <c r="H74" s="198"/>
      <c r="I74" s="198"/>
      <c r="J74" s="198"/>
      <c r="K74" s="198">
        <v>1800000</v>
      </c>
      <c r="L74" s="197">
        <f t="shared" si="7"/>
        <v>1500000</v>
      </c>
      <c r="M74" s="198"/>
      <c r="N74" s="198"/>
      <c r="O74" s="198"/>
      <c r="P74" s="198"/>
      <c r="Q74" s="198">
        <f>1800000-300000</f>
        <v>1500000</v>
      </c>
    </row>
    <row r="75" spans="1:17" ht="24.75" customHeight="1">
      <c r="A75" s="68"/>
      <c r="B75" s="57"/>
      <c r="C75" s="17" t="s">
        <v>76</v>
      </c>
      <c r="D75" s="4">
        <v>421400</v>
      </c>
      <c r="E75" s="16" t="s">
        <v>77</v>
      </c>
      <c r="F75" s="78">
        <f t="shared" si="6"/>
        <v>2778000</v>
      </c>
      <c r="G75" s="11"/>
      <c r="H75" s="11"/>
      <c r="I75" s="11">
        <f>+I76+I79+I81+I78+I80+I77</f>
        <v>2288000</v>
      </c>
      <c r="J75" s="11"/>
      <c r="K75" s="11">
        <f>+K76+K79+K81+K78+K80+K82</f>
        <v>490000</v>
      </c>
      <c r="L75" s="78">
        <f t="shared" si="7"/>
        <v>3241000</v>
      </c>
      <c r="M75" s="11"/>
      <c r="N75" s="11"/>
      <c r="O75" s="11">
        <f>+O76+O79+O81+O78+O80+O77</f>
        <v>2671000</v>
      </c>
      <c r="P75" s="11"/>
      <c r="Q75" s="11">
        <f>+Q76+Q79+Q81+Q78+Q80+Q82</f>
        <v>570000</v>
      </c>
    </row>
    <row r="76" spans="1:17" ht="19.5" customHeight="1">
      <c r="A76" s="192"/>
      <c r="B76" s="302"/>
      <c r="C76" s="18" t="s">
        <v>78</v>
      </c>
      <c r="D76" s="40">
        <v>421411</v>
      </c>
      <c r="E76" s="86" t="s">
        <v>79</v>
      </c>
      <c r="F76" s="79">
        <f aca="true" t="shared" si="8" ref="F76:F81">SUM(G76:K76)</f>
        <v>955000</v>
      </c>
      <c r="G76" s="27"/>
      <c r="H76" s="27"/>
      <c r="I76" s="27">
        <v>950000</v>
      </c>
      <c r="J76" s="27"/>
      <c r="K76" s="27">
        <v>5000</v>
      </c>
      <c r="L76" s="79">
        <f aca="true" t="shared" si="9" ref="L76:L81">SUM(M76:Q76)</f>
        <v>955000</v>
      </c>
      <c r="M76" s="27"/>
      <c r="N76" s="27"/>
      <c r="O76" s="27">
        <v>950000</v>
      </c>
      <c r="P76" s="27"/>
      <c r="Q76" s="27">
        <v>5000</v>
      </c>
    </row>
    <row r="77" spans="1:17" ht="19.5" customHeight="1">
      <c r="A77" s="192"/>
      <c r="B77" s="303"/>
      <c r="C77" s="18" t="s">
        <v>80</v>
      </c>
      <c r="D77" s="40">
        <v>42141101</v>
      </c>
      <c r="E77" s="151" t="s">
        <v>379</v>
      </c>
      <c r="F77" s="79">
        <f t="shared" si="8"/>
        <v>100000</v>
      </c>
      <c r="G77" s="27"/>
      <c r="H77" s="27"/>
      <c r="I77" s="27">
        <v>100000</v>
      </c>
      <c r="J77" s="27"/>
      <c r="K77" s="27"/>
      <c r="L77" s="79">
        <f t="shared" si="9"/>
        <v>100000</v>
      </c>
      <c r="M77" s="27"/>
      <c r="N77" s="27"/>
      <c r="O77" s="27">
        <v>100000</v>
      </c>
      <c r="P77" s="27"/>
      <c r="Q77" s="27"/>
    </row>
    <row r="78" spans="1:17" ht="19.5" customHeight="1">
      <c r="A78" s="192"/>
      <c r="B78" s="303"/>
      <c r="C78" s="199" t="s">
        <v>82</v>
      </c>
      <c r="D78" s="200">
        <v>421412</v>
      </c>
      <c r="E78" s="203" t="s">
        <v>397</v>
      </c>
      <c r="F78" s="197">
        <f t="shared" si="8"/>
        <v>1180000</v>
      </c>
      <c r="G78" s="198"/>
      <c r="H78" s="198"/>
      <c r="I78" s="198">
        <v>750000</v>
      </c>
      <c r="J78" s="198"/>
      <c r="K78" s="198">
        <v>430000</v>
      </c>
      <c r="L78" s="197">
        <f t="shared" si="9"/>
        <v>1584000</v>
      </c>
      <c r="M78" s="198"/>
      <c r="N78" s="198"/>
      <c r="O78" s="198">
        <v>1074000</v>
      </c>
      <c r="P78" s="198"/>
      <c r="Q78" s="198">
        <v>510000</v>
      </c>
    </row>
    <row r="79" spans="1:17" s="70" customFormat="1" ht="19.5" customHeight="1">
      <c r="A79" s="193"/>
      <c r="B79" s="303"/>
      <c r="C79" s="199" t="s">
        <v>258</v>
      </c>
      <c r="D79" s="200">
        <v>421414</v>
      </c>
      <c r="E79" s="201" t="s">
        <v>81</v>
      </c>
      <c r="F79" s="197">
        <f t="shared" si="8"/>
        <v>161000</v>
      </c>
      <c r="G79" s="198"/>
      <c r="H79" s="198"/>
      <c r="I79" s="198">
        <v>141000</v>
      </c>
      <c r="J79" s="198"/>
      <c r="K79" s="198">
        <v>20000</v>
      </c>
      <c r="L79" s="197">
        <f t="shared" si="9"/>
        <v>220000</v>
      </c>
      <c r="M79" s="198"/>
      <c r="N79" s="198"/>
      <c r="O79" s="198">
        <v>200000</v>
      </c>
      <c r="P79" s="198"/>
      <c r="Q79" s="198">
        <v>20000</v>
      </c>
    </row>
    <row r="80" spans="1:17" ht="19.5" customHeight="1">
      <c r="A80" s="192"/>
      <c r="B80" s="303"/>
      <c r="C80" s="18" t="s">
        <v>259</v>
      </c>
      <c r="D80" s="40">
        <v>421421</v>
      </c>
      <c r="E80" s="86" t="s">
        <v>265</v>
      </c>
      <c r="F80" s="79">
        <f t="shared" si="8"/>
        <v>340000</v>
      </c>
      <c r="G80" s="27"/>
      <c r="H80" s="27"/>
      <c r="I80" s="27">
        <v>340000</v>
      </c>
      <c r="J80" s="27"/>
      <c r="K80" s="27"/>
      <c r="L80" s="79">
        <f t="shared" si="9"/>
        <v>340000</v>
      </c>
      <c r="M80" s="27"/>
      <c r="N80" s="27"/>
      <c r="O80" s="27">
        <v>340000</v>
      </c>
      <c r="P80" s="27"/>
      <c r="Q80" s="27"/>
    </row>
    <row r="81" spans="1:17" ht="19.5" customHeight="1">
      <c r="A81" s="192"/>
      <c r="B81" s="303"/>
      <c r="C81" s="18" t="s">
        <v>260</v>
      </c>
      <c r="D81" s="40">
        <v>421429</v>
      </c>
      <c r="E81" s="151" t="s">
        <v>395</v>
      </c>
      <c r="F81" s="79">
        <f t="shared" si="8"/>
        <v>7000</v>
      </c>
      <c r="G81" s="27"/>
      <c r="H81" s="27"/>
      <c r="I81" s="27">
        <v>7000</v>
      </c>
      <c r="J81" s="27"/>
      <c r="K81" s="27"/>
      <c r="L81" s="79">
        <f t="shared" si="9"/>
        <v>7000</v>
      </c>
      <c r="M81" s="27"/>
      <c r="N81" s="27"/>
      <c r="O81" s="27">
        <v>7000</v>
      </c>
      <c r="P81" s="27"/>
      <c r="Q81" s="27"/>
    </row>
    <row r="82" spans="1:17" ht="19.5" customHeight="1">
      <c r="A82" s="192"/>
      <c r="B82" s="50"/>
      <c r="C82" s="18" t="s">
        <v>388</v>
      </c>
      <c r="D82" s="40">
        <v>421419</v>
      </c>
      <c r="E82" s="151" t="s">
        <v>387</v>
      </c>
      <c r="F82" s="79">
        <f>+K82</f>
        <v>35000</v>
      </c>
      <c r="G82" s="27"/>
      <c r="H82" s="27"/>
      <c r="I82" s="27"/>
      <c r="J82" s="27"/>
      <c r="K82" s="27">
        <v>35000</v>
      </c>
      <c r="L82" s="79">
        <f>+Q82</f>
        <v>35000</v>
      </c>
      <c r="M82" s="27"/>
      <c r="N82" s="27"/>
      <c r="O82" s="27"/>
      <c r="P82" s="27"/>
      <c r="Q82" s="27">
        <v>35000</v>
      </c>
    </row>
    <row r="83" spans="1:17" ht="24.75" customHeight="1">
      <c r="A83" s="68"/>
      <c r="B83" s="57"/>
      <c r="C83" s="17" t="s">
        <v>83</v>
      </c>
      <c r="D83" s="4">
        <v>421500</v>
      </c>
      <c r="E83" s="16" t="s">
        <v>84</v>
      </c>
      <c r="F83" s="78">
        <f>SUM(G83:K83)</f>
        <v>1137335</v>
      </c>
      <c r="G83" s="11"/>
      <c r="H83" s="11"/>
      <c r="I83" s="11">
        <f>+I84+I85+I87+I86</f>
        <v>1137335</v>
      </c>
      <c r="J83" s="11"/>
      <c r="K83" s="11"/>
      <c r="L83" s="78">
        <f>SUM(M83:Q83)</f>
        <v>1140335</v>
      </c>
      <c r="M83" s="11"/>
      <c r="N83" s="11"/>
      <c r="O83" s="11">
        <f>+O84+O85+O87+O86</f>
        <v>1137335</v>
      </c>
      <c r="P83" s="11"/>
      <c r="Q83" s="11">
        <f>+Q84+Q85+Q87+Q86</f>
        <v>3000</v>
      </c>
    </row>
    <row r="84" spans="1:17" ht="19.5" customHeight="1">
      <c r="A84" s="68"/>
      <c r="B84" s="299"/>
      <c r="C84" s="18" t="s">
        <v>85</v>
      </c>
      <c r="D84" s="40">
        <v>421512</v>
      </c>
      <c r="E84" s="175" t="s">
        <v>86</v>
      </c>
      <c r="F84" s="79">
        <f>SUM(G84:K84)</f>
        <v>550000</v>
      </c>
      <c r="G84" s="27"/>
      <c r="H84" s="27"/>
      <c r="I84" s="27">
        <v>550000</v>
      </c>
      <c r="J84" s="27"/>
      <c r="K84" s="27"/>
      <c r="L84" s="79">
        <f>SUM(M84:Q84)</f>
        <v>550000</v>
      </c>
      <c r="M84" s="27"/>
      <c r="N84" s="27"/>
      <c r="O84" s="27">
        <v>550000</v>
      </c>
      <c r="P84" s="27"/>
      <c r="Q84" s="27"/>
    </row>
    <row r="85" spans="1:17" ht="19.5" customHeight="1">
      <c r="A85" s="68"/>
      <c r="B85" s="301"/>
      <c r="C85" s="18" t="s">
        <v>87</v>
      </c>
      <c r="D85" s="40">
        <v>421513</v>
      </c>
      <c r="E85" s="175" t="s">
        <v>239</v>
      </c>
      <c r="F85" s="79">
        <f>SUM(G85:K85)</f>
        <v>170570</v>
      </c>
      <c r="G85" s="27"/>
      <c r="H85" s="27"/>
      <c r="I85" s="27">
        <v>170570</v>
      </c>
      <c r="J85" s="27"/>
      <c r="K85" s="27"/>
      <c r="L85" s="79">
        <f>SUM(M85:Q85)</f>
        <v>170570</v>
      </c>
      <c r="M85" s="27"/>
      <c r="N85" s="27"/>
      <c r="O85" s="27">
        <v>170570</v>
      </c>
      <c r="P85" s="27"/>
      <c r="Q85" s="27"/>
    </row>
    <row r="86" spans="1:17" ht="19.5" customHeight="1">
      <c r="A86" s="68"/>
      <c r="B86" s="301"/>
      <c r="C86" s="18" t="s">
        <v>89</v>
      </c>
      <c r="D86" s="40">
        <v>421519</v>
      </c>
      <c r="E86" s="175" t="s">
        <v>88</v>
      </c>
      <c r="F86" s="79">
        <f>SUM(G86:K86)</f>
        <v>248440</v>
      </c>
      <c r="G86" s="27"/>
      <c r="H86" s="27"/>
      <c r="I86" s="27">
        <v>248440</v>
      </c>
      <c r="J86" s="27"/>
      <c r="K86" s="27"/>
      <c r="L86" s="79">
        <f>SUM(M86:Q86)</f>
        <v>248440</v>
      </c>
      <c r="M86" s="27"/>
      <c r="N86" s="27"/>
      <c r="O86" s="27">
        <v>248440</v>
      </c>
      <c r="P86" s="27"/>
      <c r="Q86" s="27"/>
    </row>
    <row r="87" spans="1:17" ht="19.5" customHeight="1">
      <c r="A87" s="68"/>
      <c r="B87" s="301"/>
      <c r="C87" s="199" t="s">
        <v>241</v>
      </c>
      <c r="D87" s="200">
        <v>421521</v>
      </c>
      <c r="E87" s="242" t="s">
        <v>90</v>
      </c>
      <c r="F87" s="197">
        <f>SUM(G87:K87)</f>
        <v>168325</v>
      </c>
      <c r="G87" s="198"/>
      <c r="H87" s="198"/>
      <c r="I87" s="198">
        <v>168325</v>
      </c>
      <c r="J87" s="198"/>
      <c r="K87" s="198"/>
      <c r="L87" s="197">
        <f>SUM(M87:Q87)</f>
        <v>171325</v>
      </c>
      <c r="M87" s="198"/>
      <c r="N87" s="198"/>
      <c r="O87" s="198">
        <v>168325</v>
      </c>
      <c r="P87" s="198"/>
      <c r="Q87" s="198">
        <v>3000</v>
      </c>
    </row>
    <row r="88" spans="1:17" ht="24.75" customHeight="1">
      <c r="A88" s="68"/>
      <c r="B88" s="98"/>
      <c r="C88" s="17" t="s">
        <v>91</v>
      </c>
      <c r="D88" s="4">
        <v>421600</v>
      </c>
      <c r="E88" s="16" t="s">
        <v>250</v>
      </c>
      <c r="F88" s="78">
        <f>+F89</f>
        <v>100000</v>
      </c>
      <c r="G88" s="27"/>
      <c r="H88" s="11"/>
      <c r="I88" s="11"/>
      <c r="J88" s="11"/>
      <c r="K88" s="11">
        <f>+K89</f>
        <v>100000</v>
      </c>
      <c r="L88" s="78">
        <f>+L89</f>
        <v>100000</v>
      </c>
      <c r="M88" s="27"/>
      <c r="N88" s="11"/>
      <c r="O88" s="11"/>
      <c r="P88" s="11"/>
      <c r="Q88" s="11">
        <f>+Q89</f>
        <v>100000</v>
      </c>
    </row>
    <row r="89" spans="1:17" ht="19.5" customHeight="1">
      <c r="A89" s="68"/>
      <c r="B89" s="144"/>
      <c r="C89" s="149" t="s">
        <v>244</v>
      </c>
      <c r="D89" s="40">
        <v>421625</v>
      </c>
      <c r="E89" s="87" t="s">
        <v>242</v>
      </c>
      <c r="F89" s="79">
        <f>SUM(G89:K89)</f>
        <v>100000</v>
      </c>
      <c r="G89" s="11"/>
      <c r="H89" s="11"/>
      <c r="I89" s="27"/>
      <c r="J89" s="27"/>
      <c r="K89" s="27">
        <v>100000</v>
      </c>
      <c r="L89" s="79">
        <f>SUM(M89:Q89)</f>
        <v>100000</v>
      </c>
      <c r="M89" s="11"/>
      <c r="N89" s="11"/>
      <c r="O89" s="27"/>
      <c r="P89" s="27"/>
      <c r="Q89" s="27">
        <v>100000</v>
      </c>
    </row>
    <row r="90" spans="1:17" ht="21" customHeight="1">
      <c r="A90" s="43">
        <v>2</v>
      </c>
      <c r="B90" s="4">
        <v>422000</v>
      </c>
      <c r="C90" s="40"/>
      <c r="D90" s="272" t="s">
        <v>92</v>
      </c>
      <c r="E90" s="273"/>
      <c r="F90" s="78">
        <f>SUM(G90:K90)</f>
        <v>1145029</v>
      </c>
      <c r="G90" s="78"/>
      <c r="H90" s="78"/>
      <c r="I90" s="78">
        <f>+I91</f>
        <v>1110029</v>
      </c>
      <c r="J90" s="78"/>
      <c r="K90" s="78">
        <f>+K91</f>
        <v>35000</v>
      </c>
      <c r="L90" s="78">
        <f>SUM(M90:Q90)</f>
        <v>1225029</v>
      </c>
      <c r="M90" s="78"/>
      <c r="N90" s="78"/>
      <c r="O90" s="78">
        <f>+O91</f>
        <v>1110029</v>
      </c>
      <c r="P90" s="78"/>
      <c r="Q90" s="78">
        <f>+Q91</f>
        <v>115000</v>
      </c>
    </row>
    <row r="91" spans="1:17" ht="24.75" customHeight="1">
      <c r="A91" s="20"/>
      <c r="B91" s="9"/>
      <c r="C91" s="9" t="s">
        <v>93</v>
      </c>
      <c r="D91" s="4">
        <v>422300</v>
      </c>
      <c r="E91" s="16" t="s">
        <v>94</v>
      </c>
      <c r="F91" s="78">
        <f>+G91+H91+I91+J91+K91</f>
        <v>1145029</v>
      </c>
      <c r="G91" s="11"/>
      <c r="H91" s="11"/>
      <c r="I91" s="11">
        <f>+I93+I96+I97+I92+I94+I95</f>
        <v>1110029</v>
      </c>
      <c r="J91" s="11"/>
      <c r="K91" s="11">
        <f>+K94+K92</f>
        <v>35000</v>
      </c>
      <c r="L91" s="78">
        <f>+M91+N91+O91+P91+Q91</f>
        <v>1225029</v>
      </c>
      <c r="M91" s="11"/>
      <c r="N91" s="11"/>
      <c r="O91" s="11">
        <f>+O93+O96+O97+O92+O94+O95</f>
        <v>1110029</v>
      </c>
      <c r="P91" s="11"/>
      <c r="Q91" s="11">
        <f>+Q94+Q92+Q95</f>
        <v>115000</v>
      </c>
    </row>
    <row r="92" spans="1:17" ht="24.75" customHeight="1">
      <c r="A92" s="20"/>
      <c r="B92" s="22"/>
      <c r="C92" s="204" t="s">
        <v>302</v>
      </c>
      <c r="D92" s="234">
        <v>422311</v>
      </c>
      <c r="E92" s="203" t="s">
        <v>371</v>
      </c>
      <c r="F92" s="205">
        <f aca="true" t="shared" si="10" ref="F92:F97">+H92+I92+J92+K92</f>
        <v>865000</v>
      </c>
      <c r="G92" s="228"/>
      <c r="H92" s="228"/>
      <c r="I92" s="228">
        <v>850000</v>
      </c>
      <c r="J92" s="228"/>
      <c r="K92" s="228">
        <v>15000</v>
      </c>
      <c r="L92" s="205">
        <f aca="true" t="shared" si="11" ref="L92:L97">+N92+O92+P92+Q92</f>
        <v>915000</v>
      </c>
      <c r="M92" s="228"/>
      <c r="N92" s="228"/>
      <c r="O92" s="228">
        <v>850000</v>
      </c>
      <c r="P92" s="228"/>
      <c r="Q92" s="228">
        <f>15000+50000</f>
        <v>65000</v>
      </c>
    </row>
    <row r="93" spans="1:17" ht="19.5" customHeight="1">
      <c r="A93" s="20"/>
      <c r="B93" s="147"/>
      <c r="C93" s="148" t="s">
        <v>303</v>
      </c>
      <c r="D93" s="152">
        <v>422321</v>
      </c>
      <c r="E93" s="151" t="s">
        <v>94</v>
      </c>
      <c r="F93" s="106">
        <f t="shared" si="10"/>
        <v>161000</v>
      </c>
      <c r="G93" s="107"/>
      <c r="H93" s="107"/>
      <c r="I93" s="107">
        <v>161000</v>
      </c>
      <c r="J93" s="107"/>
      <c r="K93" s="107"/>
      <c r="L93" s="106">
        <f t="shared" si="11"/>
        <v>161000</v>
      </c>
      <c r="M93" s="107"/>
      <c r="N93" s="107"/>
      <c r="O93" s="107">
        <v>161000</v>
      </c>
      <c r="P93" s="107"/>
      <c r="Q93" s="107"/>
    </row>
    <row r="94" spans="1:17" ht="21.75" customHeight="1">
      <c r="A94" s="20"/>
      <c r="B94" s="147"/>
      <c r="C94" s="148" t="s">
        <v>304</v>
      </c>
      <c r="D94" s="152">
        <v>42232101</v>
      </c>
      <c r="E94" s="151" t="s">
        <v>372</v>
      </c>
      <c r="F94" s="106">
        <f t="shared" si="10"/>
        <v>55000</v>
      </c>
      <c r="G94" s="107"/>
      <c r="H94" s="107"/>
      <c r="I94" s="107">
        <v>35000</v>
      </c>
      <c r="J94" s="107"/>
      <c r="K94" s="107">
        <v>20000</v>
      </c>
      <c r="L94" s="106">
        <f t="shared" si="11"/>
        <v>55000</v>
      </c>
      <c r="M94" s="107"/>
      <c r="N94" s="107"/>
      <c r="O94" s="107">
        <v>35000</v>
      </c>
      <c r="P94" s="107"/>
      <c r="Q94" s="107">
        <v>20000</v>
      </c>
    </row>
    <row r="95" spans="1:17" ht="21.75" customHeight="1">
      <c r="A95" s="20"/>
      <c r="B95" s="147"/>
      <c r="C95" s="204" t="s">
        <v>374</v>
      </c>
      <c r="D95" s="234">
        <v>42232102</v>
      </c>
      <c r="E95" s="203" t="s">
        <v>373</v>
      </c>
      <c r="F95" s="205">
        <f t="shared" si="10"/>
        <v>5000</v>
      </c>
      <c r="G95" s="228"/>
      <c r="H95" s="228"/>
      <c r="I95" s="228">
        <v>5000</v>
      </c>
      <c r="J95" s="228"/>
      <c r="K95" s="228"/>
      <c r="L95" s="205">
        <f t="shared" si="11"/>
        <v>35000</v>
      </c>
      <c r="M95" s="228"/>
      <c r="N95" s="228"/>
      <c r="O95" s="228">
        <v>5000</v>
      </c>
      <c r="P95" s="228"/>
      <c r="Q95" s="228">
        <v>30000</v>
      </c>
    </row>
    <row r="96" spans="1:17" ht="23.25" customHeight="1">
      <c r="A96" s="20"/>
      <c r="B96" s="147"/>
      <c r="C96" s="148" t="s">
        <v>376</v>
      </c>
      <c r="D96" s="152">
        <v>42232103</v>
      </c>
      <c r="E96" s="151" t="s">
        <v>375</v>
      </c>
      <c r="F96" s="106">
        <f t="shared" si="10"/>
        <v>29029</v>
      </c>
      <c r="G96" s="107"/>
      <c r="H96" s="107"/>
      <c r="I96" s="107">
        <f>8000+21029</f>
        <v>29029</v>
      </c>
      <c r="J96" s="107"/>
      <c r="K96" s="107"/>
      <c r="L96" s="106">
        <f t="shared" si="11"/>
        <v>29029</v>
      </c>
      <c r="M96" s="107"/>
      <c r="N96" s="107"/>
      <c r="O96" s="107">
        <f>8000+21029</f>
        <v>29029</v>
      </c>
      <c r="P96" s="107"/>
      <c r="Q96" s="107"/>
    </row>
    <row r="97" spans="1:17" s="38" customFormat="1" ht="24" customHeight="1">
      <c r="A97" s="21"/>
      <c r="B97" s="147"/>
      <c r="C97" s="148" t="s">
        <v>377</v>
      </c>
      <c r="D97" s="152">
        <v>42232104</v>
      </c>
      <c r="E97" s="151" t="s">
        <v>378</v>
      </c>
      <c r="F97" s="106">
        <f t="shared" si="10"/>
        <v>30000</v>
      </c>
      <c r="G97" s="107"/>
      <c r="H97" s="107"/>
      <c r="I97" s="107">
        <v>30000</v>
      </c>
      <c r="J97" s="107"/>
      <c r="K97" s="107"/>
      <c r="L97" s="106">
        <f t="shared" si="11"/>
        <v>30000</v>
      </c>
      <c r="M97" s="107"/>
      <c r="N97" s="107"/>
      <c r="O97" s="107">
        <v>30000</v>
      </c>
      <c r="P97" s="107"/>
      <c r="Q97" s="107"/>
    </row>
    <row r="98" spans="1:17" s="38" customFormat="1" ht="23.25" customHeight="1">
      <c r="A98" s="48">
        <v>3</v>
      </c>
      <c r="B98" s="4">
        <v>423000</v>
      </c>
      <c r="C98" s="40"/>
      <c r="D98" s="304" t="s">
        <v>95</v>
      </c>
      <c r="E98" s="305"/>
      <c r="F98" s="78">
        <f>SUM(G98:K98)</f>
        <v>7210000</v>
      </c>
      <c r="G98" s="78"/>
      <c r="H98" s="78"/>
      <c r="I98" s="78">
        <f>+I99+I101+I103+I107+I109+I114+I116+I119</f>
        <v>4872000</v>
      </c>
      <c r="J98" s="78"/>
      <c r="K98" s="78">
        <f>+K99+K101+K103+K107+K109+K114+K116+K119</f>
        <v>2338000</v>
      </c>
      <c r="L98" s="78">
        <f>SUM(M98:Q98)</f>
        <v>7810000</v>
      </c>
      <c r="M98" s="78"/>
      <c r="N98" s="78"/>
      <c r="O98" s="78">
        <f>+O99+O101+O103+O107+O109+O114+O116+O119</f>
        <v>4872000</v>
      </c>
      <c r="P98" s="78"/>
      <c r="Q98" s="78">
        <f>+Q99+Q101+Q103+Q107+Q109+Q114+Q116+Q119</f>
        <v>2938000</v>
      </c>
    </row>
    <row r="99" spans="1:17" s="38" customFormat="1" ht="24.75" customHeight="1">
      <c r="A99" s="49"/>
      <c r="B99" s="154"/>
      <c r="C99" s="9" t="s">
        <v>96</v>
      </c>
      <c r="D99" s="4">
        <v>423100</v>
      </c>
      <c r="E99" s="153" t="s">
        <v>305</v>
      </c>
      <c r="F99" s="78">
        <f>SUM(G99:K99)</f>
        <v>600000</v>
      </c>
      <c r="G99" s="78"/>
      <c r="H99" s="78"/>
      <c r="I99" s="78">
        <f>+I100</f>
        <v>300000</v>
      </c>
      <c r="J99" s="78"/>
      <c r="K99" s="78">
        <f>+K100</f>
        <v>300000</v>
      </c>
      <c r="L99" s="78">
        <f>SUM(M99:Q99)</f>
        <v>900000</v>
      </c>
      <c r="M99" s="78"/>
      <c r="N99" s="78"/>
      <c r="O99" s="78">
        <f>+O100</f>
        <v>300000</v>
      </c>
      <c r="P99" s="78"/>
      <c r="Q99" s="78">
        <f>+Q100</f>
        <v>600000</v>
      </c>
    </row>
    <row r="100" spans="1:17" s="38" customFormat="1" ht="24.75" customHeight="1">
      <c r="A100" s="48"/>
      <c r="B100" s="154"/>
      <c r="C100" s="204" t="s">
        <v>306</v>
      </c>
      <c r="D100" s="234">
        <v>423191</v>
      </c>
      <c r="E100" s="243" t="s">
        <v>307</v>
      </c>
      <c r="F100" s="205">
        <f>SUM(G100:K100)</f>
        <v>600000</v>
      </c>
      <c r="G100" s="228"/>
      <c r="H100" s="228"/>
      <c r="I100" s="228">
        <v>300000</v>
      </c>
      <c r="J100" s="228"/>
      <c r="K100" s="228">
        <v>300000</v>
      </c>
      <c r="L100" s="205">
        <f>SUM(M100:Q100)</f>
        <v>900000</v>
      </c>
      <c r="M100" s="228"/>
      <c r="N100" s="228"/>
      <c r="O100" s="228">
        <v>300000</v>
      </c>
      <c r="P100" s="228"/>
      <c r="Q100" s="228">
        <v>600000</v>
      </c>
    </row>
    <row r="101" spans="1:17" s="38" customFormat="1" ht="24.75" customHeight="1">
      <c r="A101" s="20"/>
      <c r="B101" s="155"/>
      <c r="C101" s="9" t="s">
        <v>97</v>
      </c>
      <c r="D101" s="4">
        <v>423200</v>
      </c>
      <c r="E101" s="16" t="s">
        <v>309</v>
      </c>
      <c r="F101" s="78">
        <f>SUM(G101:K101)</f>
        <v>2340000</v>
      </c>
      <c r="G101" s="11"/>
      <c r="H101" s="11"/>
      <c r="I101" s="11">
        <f>+I102</f>
        <v>2340000</v>
      </c>
      <c r="J101" s="11"/>
      <c r="K101" s="11"/>
      <c r="L101" s="78">
        <f>SUM(M101:Q101)</f>
        <v>2340000</v>
      </c>
      <c r="M101" s="11"/>
      <c r="N101" s="11"/>
      <c r="O101" s="11">
        <f>+O102</f>
        <v>2340000</v>
      </c>
      <c r="P101" s="11"/>
      <c r="Q101" s="11"/>
    </row>
    <row r="102" spans="1:17" s="38" customFormat="1" ht="19.5" customHeight="1">
      <c r="A102" s="20"/>
      <c r="B102" s="52"/>
      <c r="C102" s="10" t="s">
        <v>98</v>
      </c>
      <c r="D102" s="40">
        <v>423212</v>
      </c>
      <c r="E102" s="151" t="s">
        <v>308</v>
      </c>
      <c r="F102" s="79">
        <f>+I102</f>
        <v>2340000</v>
      </c>
      <c r="G102" s="27"/>
      <c r="H102" s="27"/>
      <c r="I102" s="27">
        <v>2340000</v>
      </c>
      <c r="J102" s="27"/>
      <c r="K102" s="27"/>
      <c r="L102" s="79">
        <f>+O102</f>
        <v>2340000</v>
      </c>
      <c r="M102" s="27"/>
      <c r="N102" s="27"/>
      <c r="O102" s="27">
        <v>2340000</v>
      </c>
      <c r="P102" s="27"/>
      <c r="Q102" s="27"/>
    </row>
    <row r="103" spans="1:17" s="38" customFormat="1" ht="24.75" customHeight="1">
      <c r="A103" s="20"/>
      <c r="B103" s="155"/>
      <c r="C103" s="9" t="s">
        <v>99</v>
      </c>
      <c r="D103" s="4">
        <v>423300</v>
      </c>
      <c r="E103" s="16" t="s">
        <v>310</v>
      </c>
      <c r="F103" s="78">
        <f>SUM(G103:K103)</f>
        <v>690000</v>
      </c>
      <c r="G103" s="11"/>
      <c r="H103" s="11"/>
      <c r="I103" s="11">
        <f>+I104+I106</f>
        <v>640000</v>
      </c>
      <c r="J103" s="11"/>
      <c r="K103" s="11">
        <f>+K104+K106</f>
        <v>50000</v>
      </c>
      <c r="L103" s="78">
        <f>SUM(M103:Q103)</f>
        <v>735000</v>
      </c>
      <c r="M103" s="11"/>
      <c r="N103" s="11"/>
      <c r="O103" s="11">
        <f>+O104+O106</f>
        <v>640000</v>
      </c>
      <c r="P103" s="11"/>
      <c r="Q103" s="11">
        <f>+Q104+Q106+Q105</f>
        <v>95000</v>
      </c>
    </row>
    <row r="104" spans="1:17" s="38" customFormat="1" ht="19.5" customHeight="1">
      <c r="A104" s="20"/>
      <c r="B104" s="299"/>
      <c r="C104" s="10" t="s">
        <v>100</v>
      </c>
      <c r="D104" s="40">
        <v>423311</v>
      </c>
      <c r="E104" s="86" t="s">
        <v>101</v>
      </c>
      <c r="F104" s="79">
        <f>SUM(G104:K104)</f>
        <v>610000</v>
      </c>
      <c r="G104" s="27"/>
      <c r="H104" s="27"/>
      <c r="I104" s="27">
        <v>610000</v>
      </c>
      <c r="J104" s="11"/>
      <c r="K104" s="27"/>
      <c r="L104" s="79">
        <f>SUM(M104:Q104)</f>
        <v>610000</v>
      </c>
      <c r="M104" s="27"/>
      <c r="N104" s="27"/>
      <c r="O104" s="27">
        <v>610000</v>
      </c>
      <c r="P104" s="11"/>
      <c r="Q104" s="27"/>
    </row>
    <row r="105" spans="1:17" s="38" customFormat="1" ht="19.5" customHeight="1">
      <c r="A105" s="20"/>
      <c r="B105" s="301"/>
      <c r="C105" s="241" t="s">
        <v>102</v>
      </c>
      <c r="D105" s="200">
        <v>42331101</v>
      </c>
      <c r="E105" s="203" t="s">
        <v>385</v>
      </c>
      <c r="F105" s="197"/>
      <c r="G105" s="198"/>
      <c r="H105" s="198"/>
      <c r="I105" s="198"/>
      <c r="J105" s="225"/>
      <c r="K105" s="198"/>
      <c r="L105" s="197">
        <f>SUM(M105:Q105)</f>
        <v>25000</v>
      </c>
      <c r="M105" s="198"/>
      <c r="N105" s="198"/>
      <c r="O105" s="198"/>
      <c r="P105" s="225"/>
      <c r="Q105" s="198">
        <v>25000</v>
      </c>
    </row>
    <row r="106" spans="1:17" s="38" customFormat="1" ht="19.5" customHeight="1">
      <c r="A106" s="20"/>
      <c r="B106" s="301"/>
      <c r="C106" s="241" t="s">
        <v>334</v>
      </c>
      <c r="D106" s="200">
        <v>423321</v>
      </c>
      <c r="E106" s="201" t="s">
        <v>103</v>
      </c>
      <c r="F106" s="197">
        <f>SUM(G106:K106)</f>
        <v>80000</v>
      </c>
      <c r="G106" s="198"/>
      <c r="H106" s="198"/>
      <c r="I106" s="198">
        <v>30000</v>
      </c>
      <c r="J106" s="198"/>
      <c r="K106" s="198">
        <f>130000-30000-50000</f>
        <v>50000</v>
      </c>
      <c r="L106" s="197">
        <f>SUM(M106:Q106)</f>
        <v>100000</v>
      </c>
      <c r="M106" s="198"/>
      <c r="N106" s="198"/>
      <c r="O106" s="198">
        <v>30000</v>
      </c>
      <c r="P106" s="198"/>
      <c r="Q106" s="198">
        <v>70000</v>
      </c>
    </row>
    <row r="107" spans="1:17" s="38" customFormat="1" ht="24.75" customHeight="1">
      <c r="A107" s="20"/>
      <c r="B107" s="57"/>
      <c r="C107" s="9" t="s">
        <v>104</v>
      </c>
      <c r="D107" s="4">
        <v>423400</v>
      </c>
      <c r="E107" s="16" t="s">
        <v>311</v>
      </c>
      <c r="F107" s="78">
        <f aca="true" t="shared" si="12" ref="F107:F116">SUM(G107:K107)</f>
        <v>50000</v>
      </c>
      <c r="G107" s="11"/>
      <c r="H107" s="11"/>
      <c r="I107" s="11">
        <f>+I108</f>
        <v>50000</v>
      </c>
      <c r="J107" s="11"/>
      <c r="K107" s="11"/>
      <c r="L107" s="78">
        <f aca="true" t="shared" si="13" ref="L107:L116">SUM(M107:Q107)</f>
        <v>50000</v>
      </c>
      <c r="M107" s="11"/>
      <c r="N107" s="11"/>
      <c r="O107" s="11">
        <f>+O108</f>
        <v>50000</v>
      </c>
      <c r="P107" s="11"/>
      <c r="Q107" s="11"/>
    </row>
    <row r="108" spans="1:17" s="38" customFormat="1" ht="19.5" customHeight="1">
      <c r="A108" s="20"/>
      <c r="B108" s="52"/>
      <c r="C108" s="10" t="s">
        <v>105</v>
      </c>
      <c r="D108" s="40">
        <v>423432</v>
      </c>
      <c r="E108" s="86" t="s">
        <v>106</v>
      </c>
      <c r="F108" s="79">
        <f t="shared" si="12"/>
        <v>50000</v>
      </c>
      <c r="G108" s="27"/>
      <c r="H108" s="27"/>
      <c r="I108" s="27">
        <f>100000-50000</f>
        <v>50000</v>
      </c>
      <c r="J108" s="27"/>
      <c r="K108" s="27"/>
      <c r="L108" s="79">
        <f t="shared" si="13"/>
        <v>50000</v>
      </c>
      <c r="M108" s="27"/>
      <c r="N108" s="27"/>
      <c r="O108" s="27">
        <f>100000-50000</f>
        <v>50000</v>
      </c>
      <c r="P108" s="27"/>
      <c r="Q108" s="27"/>
    </row>
    <row r="109" spans="1:17" s="38" customFormat="1" ht="24.75" customHeight="1">
      <c r="A109" s="20"/>
      <c r="B109" s="98"/>
      <c r="C109" s="9" t="s">
        <v>107</v>
      </c>
      <c r="D109" s="4">
        <v>423500</v>
      </c>
      <c r="E109" s="16" t="s">
        <v>312</v>
      </c>
      <c r="F109" s="78">
        <f t="shared" si="12"/>
        <v>1108000</v>
      </c>
      <c r="G109" s="11"/>
      <c r="H109" s="11"/>
      <c r="I109" s="11"/>
      <c r="J109" s="11"/>
      <c r="K109" s="11">
        <f>+K110+K111+K112+K113</f>
        <v>1108000</v>
      </c>
      <c r="L109" s="78">
        <f t="shared" si="13"/>
        <v>1163000</v>
      </c>
      <c r="M109" s="11"/>
      <c r="N109" s="11"/>
      <c r="O109" s="11"/>
      <c r="P109" s="11"/>
      <c r="Q109" s="11">
        <f>+Q110+Q111+Q112+Q113</f>
        <v>1163000</v>
      </c>
    </row>
    <row r="110" spans="1:17" s="38" customFormat="1" ht="19.5" customHeight="1">
      <c r="A110" s="26"/>
      <c r="B110" s="92"/>
      <c r="C110" s="150" t="s">
        <v>313</v>
      </c>
      <c r="D110" s="152">
        <v>423591</v>
      </c>
      <c r="E110" s="151" t="s">
        <v>240</v>
      </c>
      <c r="F110" s="106">
        <f t="shared" si="12"/>
        <v>250000</v>
      </c>
      <c r="G110" s="107"/>
      <c r="H110" s="107"/>
      <c r="I110" s="107"/>
      <c r="J110" s="27"/>
      <c r="K110" s="27">
        <v>250000</v>
      </c>
      <c r="L110" s="106">
        <f t="shared" si="13"/>
        <v>250000</v>
      </c>
      <c r="M110" s="107"/>
      <c r="N110" s="107"/>
      <c r="O110" s="107"/>
      <c r="P110" s="27"/>
      <c r="Q110" s="27">
        <v>250000</v>
      </c>
    </row>
    <row r="111" spans="1:17" s="38" customFormat="1" ht="19.5" customHeight="1">
      <c r="A111" s="26"/>
      <c r="B111" s="68"/>
      <c r="C111" s="150" t="s">
        <v>314</v>
      </c>
      <c r="D111" s="152">
        <v>4235991</v>
      </c>
      <c r="E111" s="156" t="s">
        <v>247</v>
      </c>
      <c r="F111" s="106">
        <f t="shared" si="12"/>
        <v>288000</v>
      </c>
      <c r="G111" s="107"/>
      <c r="H111" s="107"/>
      <c r="I111" s="107"/>
      <c r="J111" s="27"/>
      <c r="K111" s="107">
        <v>288000</v>
      </c>
      <c r="L111" s="106">
        <f t="shared" si="13"/>
        <v>288000</v>
      </c>
      <c r="M111" s="107"/>
      <c r="N111" s="107"/>
      <c r="O111" s="107"/>
      <c r="P111" s="27"/>
      <c r="Q111" s="107">
        <v>288000</v>
      </c>
    </row>
    <row r="112" spans="1:17" ht="19.5" customHeight="1">
      <c r="A112" s="26"/>
      <c r="B112" s="69"/>
      <c r="C112" s="206" t="s">
        <v>315</v>
      </c>
      <c r="D112" s="234">
        <v>4235992</v>
      </c>
      <c r="E112" s="243" t="s">
        <v>316</v>
      </c>
      <c r="F112" s="205">
        <f t="shared" si="12"/>
        <v>120000</v>
      </c>
      <c r="G112" s="228"/>
      <c r="H112" s="228"/>
      <c r="I112" s="228"/>
      <c r="J112" s="198"/>
      <c r="K112" s="228">
        <v>120000</v>
      </c>
      <c r="L112" s="205">
        <f t="shared" si="13"/>
        <v>175000</v>
      </c>
      <c r="M112" s="228"/>
      <c r="N112" s="228"/>
      <c r="O112" s="228"/>
      <c r="P112" s="198"/>
      <c r="Q112" s="228">
        <v>175000</v>
      </c>
    </row>
    <row r="113" spans="1:17" ht="19.5" customHeight="1">
      <c r="A113" s="26"/>
      <c r="B113" s="69"/>
      <c r="C113" s="150" t="s">
        <v>398</v>
      </c>
      <c r="D113" s="152">
        <v>423599</v>
      </c>
      <c r="E113" s="16" t="s">
        <v>394</v>
      </c>
      <c r="F113" s="106">
        <f t="shared" si="12"/>
        <v>450000</v>
      </c>
      <c r="G113" s="107"/>
      <c r="H113" s="107"/>
      <c r="I113" s="107"/>
      <c r="J113" s="27"/>
      <c r="K113" s="107">
        <v>450000</v>
      </c>
      <c r="L113" s="106">
        <f t="shared" si="13"/>
        <v>450000</v>
      </c>
      <c r="M113" s="107"/>
      <c r="N113" s="107"/>
      <c r="O113" s="107"/>
      <c r="P113" s="27"/>
      <c r="Q113" s="107">
        <v>450000</v>
      </c>
    </row>
    <row r="114" spans="1:17" ht="24.75" customHeight="1">
      <c r="A114" s="26"/>
      <c r="B114" s="32"/>
      <c r="C114" s="9" t="s">
        <v>108</v>
      </c>
      <c r="D114" s="4">
        <v>423600</v>
      </c>
      <c r="E114" s="16" t="s">
        <v>317</v>
      </c>
      <c r="F114" s="78">
        <f t="shared" si="12"/>
        <v>1242000</v>
      </c>
      <c r="G114" s="11"/>
      <c r="H114" s="11"/>
      <c r="I114" s="11">
        <f>+I115</f>
        <v>1242000</v>
      </c>
      <c r="J114" s="11"/>
      <c r="K114" s="11"/>
      <c r="L114" s="78">
        <f t="shared" si="13"/>
        <v>1242000</v>
      </c>
      <c r="M114" s="11"/>
      <c r="N114" s="11"/>
      <c r="O114" s="11">
        <f>+O115</f>
        <v>1242000</v>
      </c>
      <c r="P114" s="11"/>
      <c r="Q114" s="11"/>
    </row>
    <row r="115" spans="1:17" ht="19.5" customHeight="1">
      <c r="A115" s="20"/>
      <c r="B115" s="146"/>
      <c r="C115" s="148" t="s">
        <v>318</v>
      </c>
      <c r="D115" s="152">
        <v>423611</v>
      </c>
      <c r="E115" s="151" t="s">
        <v>266</v>
      </c>
      <c r="F115" s="106">
        <f t="shared" si="12"/>
        <v>1242000</v>
      </c>
      <c r="G115" s="107"/>
      <c r="H115" s="107"/>
      <c r="I115" s="107">
        <v>1242000</v>
      </c>
      <c r="J115" s="27"/>
      <c r="K115" s="11"/>
      <c r="L115" s="106">
        <f t="shared" si="13"/>
        <v>1242000</v>
      </c>
      <c r="M115" s="107"/>
      <c r="N115" s="107"/>
      <c r="O115" s="107">
        <v>1242000</v>
      </c>
      <c r="P115" s="27"/>
      <c r="Q115" s="11"/>
    </row>
    <row r="116" spans="1:17" ht="24.75" customHeight="1">
      <c r="A116" s="20"/>
      <c r="B116" s="145"/>
      <c r="C116" s="9" t="s">
        <v>110</v>
      </c>
      <c r="D116" s="4">
        <v>423700</v>
      </c>
      <c r="E116" s="16" t="s">
        <v>109</v>
      </c>
      <c r="F116" s="78">
        <f t="shared" si="12"/>
        <v>580000</v>
      </c>
      <c r="G116" s="11"/>
      <c r="H116" s="11"/>
      <c r="I116" s="11"/>
      <c r="J116" s="11"/>
      <c r="K116" s="11">
        <f>+K117+K118</f>
        <v>580000</v>
      </c>
      <c r="L116" s="78">
        <f t="shared" si="13"/>
        <v>580000</v>
      </c>
      <c r="M116" s="11"/>
      <c r="N116" s="11"/>
      <c r="O116" s="11"/>
      <c r="P116" s="11"/>
      <c r="Q116" s="11">
        <f>+Q117+Q118</f>
        <v>580000</v>
      </c>
    </row>
    <row r="117" spans="1:17" ht="19.5" customHeight="1">
      <c r="A117" s="26"/>
      <c r="B117" s="67"/>
      <c r="C117" s="150" t="s">
        <v>319</v>
      </c>
      <c r="D117" s="152">
        <v>423711</v>
      </c>
      <c r="E117" s="151" t="s">
        <v>109</v>
      </c>
      <c r="F117" s="106">
        <f>+K117</f>
        <v>480000</v>
      </c>
      <c r="G117" s="107"/>
      <c r="H117" s="107"/>
      <c r="I117" s="107"/>
      <c r="J117" s="107"/>
      <c r="K117" s="107">
        <v>480000</v>
      </c>
      <c r="L117" s="106">
        <f>+Q117</f>
        <v>480000</v>
      </c>
      <c r="M117" s="107"/>
      <c r="N117" s="107"/>
      <c r="O117" s="107"/>
      <c r="P117" s="107"/>
      <c r="Q117" s="107">
        <v>480000</v>
      </c>
    </row>
    <row r="118" spans="1:17" ht="19.5" customHeight="1">
      <c r="A118" s="26"/>
      <c r="B118" s="69"/>
      <c r="C118" s="150" t="s">
        <v>343</v>
      </c>
      <c r="D118" s="152">
        <v>423712</v>
      </c>
      <c r="E118" s="151" t="s">
        <v>342</v>
      </c>
      <c r="F118" s="106">
        <f>+K118</f>
        <v>100000</v>
      </c>
      <c r="G118" s="107"/>
      <c r="H118" s="107"/>
      <c r="I118" s="107"/>
      <c r="J118" s="107"/>
      <c r="K118" s="107">
        <v>100000</v>
      </c>
      <c r="L118" s="106">
        <f>+Q118</f>
        <v>100000</v>
      </c>
      <c r="M118" s="107"/>
      <c r="N118" s="107"/>
      <c r="O118" s="107"/>
      <c r="P118" s="107"/>
      <c r="Q118" s="107">
        <v>100000</v>
      </c>
    </row>
    <row r="119" spans="1:17" ht="24.75" customHeight="1">
      <c r="A119" s="20"/>
      <c r="B119" s="146"/>
      <c r="C119" s="9" t="s">
        <v>245</v>
      </c>
      <c r="D119" s="4">
        <v>423900</v>
      </c>
      <c r="E119" s="16" t="s">
        <v>111</v>
      </c>
      <c r="F119" s="78">
        <f>SUM(G119:K119)</f>
        <v>600000</v>
      </c>
      <c r="G119" s="11"/>
      <c r="H119" s="11"/>
      <c r="I119" s="11">
        <f>+I120</f>
        <v>300000</v>
      </c>
      <c r="J119" s="11"/>
      <c r="K119" s="11">
        <f>+K120</f>
        <v>300000</v>
      </c>
      <c r="L119" s="78">
        <f>SUM(M119:Q119)</f>
        <v>800000</v>
      </c>
      <c r="M119" s="11"/>
      <c r="N119" s="11"/>
      <c r="O119" s="11">
        <f>+O120</f>
        <v>300000</v>
      </c>
      <c r="P119" s="11"/>
      <c r="Q119" s="11">
        <f>+Q120</f>
        <v>500000</v>
      </c>
    </row>
    <row r="120" spans="1:17" ht="19.5" customHeight="1">
      <c r="A120" s="21"/>
      <c r="B120" s="155"/>
      <c r="C120" s="204" t="s">
        <v>320</v>
      </c>
      <c r="D120" s="234">
        <v>423911</v>
      </c>
      <c r="E120" s="243" t="s">
        <v>111</v>
      </c>
      <c r="F120" s="205">
        <f>SUM(G120:K120)</f>
        <v>600000</v>
      </c>
      <c r="G120" s="228"/>
      <c r="H120" s="228"/>
      <c r="I120" s="228">
        <v>300000</v>
      </c>
      <c r="J120" s="233"/>
      <c r="K120" s="228">
        <v>300000</v>
      </c>
      <c r="L120" s="205">
        <f>SUM(M120:Q120)</f>
        <v>800000</v>
      </c>
      <c r="M120" s="228"/>
      <c r="N120" s="228"/>
      <c r="O120" s="228">
        <v>300000</v>
      </c>
      <c r="P120" s="233"/>
      <c r="Q120" s="228">
        <f>100000+400000</f>
        <v>500000</v>
      </c>
    </row>
    <row r="121" spans="1:17" ht="25.5" customHeight="1">
      <c r="A121" s="13">
        <v>4</v>
      </c>
      <c r="B121" s="4">
        <v>424000</v>
      </c>
      <c r="C121" s="40"/>
      <c r="D121" s="272" t="s">
        <v>112</v>
      </c>
      <c r="E121" s="273"/>
      <c r="F121" s="78">
        <f>SUM(G121:K121)</f>
        <v>5784623</v>
      </c>
      <c r="G121" s="78"/>
      <c r="H121" s="78"/>
      <c r="I121" s="78">
        <f>+I122+I127+I125</f>
        <v>238000</v>
      </c>
      <c r="J121" s="78">
        <f>+J122+J127</f>
        <v>2036626</v>
      </c>
      <c r="K121" s="78">
        <f>+K122+K128</f>
        <v>3509997</v>
      </c>
      <c r="L121" s="78">
        <f>SUM(M121:Q121)</f>
        <v>5844623</v>
      </c>
      <c r="M121" s="78"/>
      <c r="N121" s="78"/>
      <c r="O121" s="78">
        <f>+O122+O127+O125</f>
        <v>298000</v>
      </c>
      <c r="P121" s="78">
        <f>+P122+P127</f>
        <v>2036626</v>
      </c>
      <c r="Q121" s="78">
        <f>+Q122+Q128</f>
        <v>3509997</v>
      </c>
    </row>
    <row r="122" spans="1:17" ht="24.75" customHeight="1">
      <c r="A122" s="82"/>
      <c r="B122" s="67"/>
      <c r="C122" s="84" t="s">
        <v>113</v>
      </c>
      <c r="D122" s="4">
        <v>424300</v>
      </c>
      <c r="E122" s="16" t="s">
        <v>338</v>
      </c>
      <c r="F122" s="78">
        <f>SUM(G122:K122)</f>
        <v>428000</v>
      </c>
      <c r="G122" s="11"/>
      <c r="H122" s="11"/>
      <c r="I122" s="11">
        <f>+I123</f>
        <v>228000</v>
      </c>
      <c r="J122" s="11"/>
      <c r="K122" s="11">
        <f>+K123+K124</f>
        <v>200000</v>
      </c>
      <c r="L122" s="78">
        <f>SUM(M122:Q122)</f>
        <v>428000</v>
      </c>
      <c r="M122" s="11"/>
      <c r="N122" s="11"/>
      <c r="O122" s="11">
        <f>+O123</f>
        <v>228000</v>
      </c>
      <c r="P122" s="11"/>
      <c r="Q122" s="11">
        <f>+Q123+Q124</f>
        <v>200000</v>
      </c>
    </row>
    <row r="123" spans="1:17" ht="19.5" customHeight="1">
      <c r="A123" s="26"/>
      <c r="B123" s="51"/>
      <c r="C123" s="169" t="s">
        <v>114</v>
      </c>
      <c r="D123" s="41">
        <v>424331</v>
      </c>
      <c r="E123" s="90" t="s">
        <v>116</v>
      </c>
      <c r="F123" s="79">
        <f>SUM(G123:K123)</f>
        <v>228000</v>
      </c>
      <c r="G123" s="27"/>
      <c r="H123" s="27"/>
      <c r="I123" s="27">
        <f>200000+28000</f>
        <v>228000</v>
      </c>
      <c r="J123" s="27"/>
      <c r="K123" s="27"/>
      <c r="L123" s="79">
        <f>SUM(M123:Q123)</f>
        <v>228000</v>
      </c>
      <c r="M123" s="27"/>
      <c r="N123" s="27"/>
      <c r="O123" s="27">
        <f>200000+28000</f>
        <v>228000</v>
      </c>
      <c r="P123" s="27"/>
      <c r="Q123" s="27"/>
    </row>
    <row r="124" spans="1:17" ht="19.5" customHeight="1">
      <c r="A124" s="26"/>
      <c r="B124" s="51"/>
      <c r="C124" s="169" t="s">
        <v>115</v>
      </c>
      <c r="D124" s="41">
        <v>424351</v>
      </c>
      <c r="E124" s="186" t="s">
        <v>278</v>
      </c>
      <c r="F124" s="79">
        <f>+K124</f>
        <v>200000</v>
      </c>
      <c r="G124" s="27"/>
      <c r="H124" s="27"/>
      <c r="I124" s="27"/>
      <c r="J124" s="27"/>
      <c r="K124" s="27">
        <v>200000</v>
      </c>
      <c r="L124" s="79">
        <f>+Q124</f>
        <v>200000</v>
      </c>
      <c r="M124" s="27"/>
      <c r="N124" s="27"/>
      <c r="O124" s="27"/>
      <c r="P124" s="27"/>
      <c r="Q124" s="27">
        <v>200000</v>
      </c>
    </row>
    <row r="125" spans="1:17" ht="19.5" customHeight="1">
      <c r="A125" s="26"/>
      <c r="B125" s="51"/>
      <c r="C125" s="52" t="s">
        <v>256</v>
      </c>
      <c r="D125" s="23">
        <v>424600</v>
      </c>
      <c r="E125" s="215" t="s">
        <v>404</v>
      </c>
      <c r="F125" s="78">
        <f>+I125</f>
        <v>10000</v>
      </c>
      <c r="G125" s="11"/>
      <c r="H125" s="11"/>
      <c r="I125" s="11">
        <f>+I126</f>
        <v>10000</v>
      </c>
      <c r="J125" s="11"/>
      <c r="K125" s="11"/>
      <c r="L125" s="78">
        <f>+O125</f>
        <v>70000</v>
      </c>
      <c r="M125" s="11"/>
      <c r="N125" s="11"/>
      <c r="O125" s="11">
        <f>+O126</f>
        <v>70000</v>
      </c>
      <c r="P125" s="11"/>
      <c r="Q125" s="11"/>
    </row>
    <row r="126" spans="1:17" ht="19.5" customHeight="1">
      <c r="A126" s="26"/>
      <c r="B126" s="51"/>
      <c r="C126" s="206" t="s">
        <v>255</v>
      </c>
      <c r="D126" s="195">
        <v>424611</v>
      </c>
      <c r="E126" s="244" t="s">
        <v>405</v>
      </c>
      <c r="F126" s="197">
        <f>+I126</f>
        <v>10000</v>
      </c>
      <c r="G126" s="198"/>
      <c r="H126" s="198"/>
      <c r="I126" s="198">
        <v>10000</v>
      </c>
      <c r="J126" s="198"/>
      <c r="K126" s="198"/>
      <c r="L126" s="197">
        <f>+O126</f>
        <v>70000</v>
      </c>
      <c r="M126" s="198"/>
      <c r="N126" s="198"/>
      <c r="O126" s="198">
        <v>70000</v>
      </c>
      <c r="P126" s="198"/>
      <c r="Q126" s="198"/>
    </row>
    <row r="127" spans="1:17" s="71" customFormat="1" ht="24.75" customHeight="1">
      <c r="A127" s="26"/>
      <c r="B127" s="9"/>
      <c r="C127" s="52" t="s">
        <v>402</v>
      </c>
      <c r="D127" s="4">
        <v>424900</v>
      </c>
      <c r="E127" s="176" t="s">
        <v>321</v>
      </c>
      <c r="F127" s="78">
        <f aca="true" t="shared" si="14" ref="F127:F133">SUM(G127:K127)</f>
        <v>5346623</v>
      </c>
      <c r="G127" s="11"/>
      <c r="H127" s="11"/>
      <c r="I127" s="11"/>
      <c r="J127" s="11">
        <f>+J128</f>
        <v>2036626</v>
      </c>
      <c r="K127" s="11">
        <f>+K128</f>
        <v>3309997</v>
      </c>
      <c r="L127" s="78">
        <f aca="true" t="shared" si="15" ref="L127:L133">SUM(M127:Q127)</f>
        <v>5346623</v>
      </c>
      <c r="M127" s="11"/>
      <c r="N127" s="11"/>
      <c r="O127" s="11"/>
      <c r="P127" s="11">
        <f>+P128</f>
        <v>2036626</v>
      </c>
      <c r="Q127" s="11">
        <f>+Q128</f>
        <v>3309997</v>
      </c>
    </row>
    <row r="128" spans="1:17" s="72" customFormat="1" ht="19.5" customHeight="1">
      <c r="A128" s="83"/>
      <c r="B128" s="50"/>
      <c r="C128" s="150" t="s">
        <v>403</v>
      </c>
      <c r="D128" s="157">
        <v>424911</v>
      </c>
      <c r="E128" s="158" t="s">
        <v>322</v>
      </c>
      <c r="F128" s="106">
        <f t="shared" si="14"/>
        <v>5346623</v>
      </c>
      <c r="G128" s="107"/>
      <c r="H128" s="107"/>
      <c r="I128" s="107"/>
      <c r="J128" s="107">
        <f>3184000-1147374</f>
        <v>2036626</v>
      </c>
      <c r="K128" s="107">
        <f>5500000+2716000-50000+59000+356-5261982+3492459-925836-1800000-420000</f>
        <v>3309997</v>
      </c>
      <c r="L128" s="106">
        <f t="shared" si="15"/>
        <v>5346623</v>
      </c>
      <c r="M128" s="107"/>
      <c r="N128" s="107"/>
      <c r="O128" s="107"/>
      <c r="P128" s="107">
        <f>3184000-1147374</f>
        <v>2036626</v>
      </c>
      <c r="Q128" s="107">
        <f>5500000+2716000-50000+59000+356-5261982+3492459-925836-1800000-420000</f>
        <v>3309997</v>
      </c>
    </row>
    <row r="129" spans="1:17" ht="23.25" customHeight="1">
      <c r="A129" s="48">
        <v>5</v>
      </c>
      <c r="B129" s="5">
        <v>425000</v>
      </c>
      <c r="C129" s="24"/>
      <c r="D129" s="272" t="s">
        <v>117</v>
      </c>
      <c r="E129" s="273"/>
      <c r="F129" s="78">
        <f t="shared" si="14"/>
        <v>14174000</v>
      </c>
      <c r="G129" s="78"/>
      <c r="H129" s="78"/>
      <c r="I129" s="78">
        <f>I130+I141</f>
        <v>11852000</v>
      </c>
      <c r="J129" s="78"/>
      <c r="K129" s="78">
        <f>K130+K141</f>
        <v>2322000</v>
      </c>
      <c r="L129" s="78">
        <f t="shared" si="15"/>
        <v>16021284</v>
      </c>
      <c r="M129" s="78"/>
      <c r="N129" s="78">
        <f>N130+N141</f>
        <v>0</v>
      </c>
      <c r="O129" s="78">
        <f>O130+O141</f>
        <v>12179284</v>
      </c>
      <c r="P129" s="78">
        <f>P130+P141</f>
        <v>526992</v>
      </c>
      <c r="Q129" s="78">
        <f>Q130+Q141</f>
        <v>3315008</v>
      </c>
    </row>
    <row r="130" spans="1:17" s="38" customFormat="1" ht="24.75" customHeight="1">
      <c r="A130" s="19"/>
      <c r="B130" s="155"/>
      <c r="C130" s="9" t="s">
        <v>118</v>
      </c>
      <c r="D130" s="4">
        <v>425100</v>
      </c>
      <c r="E130" s="16" t="s">
        <v>323</v>
      </c>
      <c r="F130" s="78">
        <f t="shared" si="14"/>
        <v>1430000</v>
      </c>
      <c r="G130" s="11"/>
      <c r="H130" s="11"/>
      <c r="I130" s="11">
        <f>+I131+I132+I133+I134+I135+I136+I137+I139+I138+I140</f>
        <v>1230000</v>
      </c>
      <c r="J130" s="11"/>
      <c r="K130" s="11">
        <f>+K131+K132+K133+K134+K135+K136+K137+K139</f>
        <v>200000</v>
      </c>
      <c r="L130" s="78">
        <f t="shared" si="15"/>
        <v>1905284</v>
      </c>
      <c r="M130" s="11"/>
      <c r="N130" s="11">
        <f>+N131+N132+N133+N134+N135+N136+N137+N139+N138+N140</f>
        <v>0</v>
      </c>
      <c r="O130" s="11">
        <f>+O131+O132+O133+O134+O135+O136+O137+O139+O138+O140</f>
        <v>1705284</v>
      </c>
      <c r="P130" s="11"/>
      <c r="Q130" s="11">
        <f>+Q131+Q132+Q133+Q134+Q135+Q136+Q137+Q139</f>
        <v>200000</v>
      </c>
    </row>
    <row r="131" spans="1:17" s="38" customFormat="1" ht="19.5" customHeight="1">
      <c r="A131" s="20"/>
      <c r="B131" s="306"/>
      <c r="C131" s="10" t="s">
        <v>119</v>
      </c>
      <c r="D131" s="40">
        <v>425111</v>
      </c>
      <c r="E131" s="86" t="s">
        <v>120</v>
      </c>
      <c r="F131" s="79">
        <f t="shared" si="14"/>
        <v>50000</v>
      </c>
      <c r="G131" s="11"/>
      <c r="H131" s="27"/>
      <c r="I131" s="27">
        <v>50000</v>
      </c>
      <c r="J131" s="11"/>
      <c r="K131" s="12"/>
      <c r="L131" s="79">
        <f t="shared" si="15"/>
        <v>50000</v>
      </c>
      <c r="M131" s="11"/>
      <c r="N131" s="27"/>
      <c r="O131" s="27">
        <v>50000</v>
      </c>
      <c r="P131" s="11"/>
      <c r="Q131" s="12"/>
    </row>
    <row r="132" spans="1:17" s="38" customFormat="1" ht="19.5" customHeight="1">
      <c r="A132" s="20"/>
      <c r="B132" s="307"/>
      <c r="C132" s="10" t="s">
        <v>121</v>
      </c>
      <c r="D132" s="40">
        <v>425112</v>
      </c>
      <c r="E132" s="86" t="s">
        <v>122</v>
      </c>
      <c r="F132" s="79">
        <f t="shared" si="14"/>
        <v>200000</v>
      </c>
      <c r="G132" s="27"/>
      <c r="H132" s="27"/>
      <c r="I132" s="27">
        <v>200000</v>
      </c>
      <c r="J132" s="27"/>
      <c r="K132" s="12"/>
      <c r="L132" s="79">
        <f t="shared" si="15"/>
        <v>200000</v>
      </c>
      <c r="M132" s="27"/>
      <c r="N132" s="27"/>
      <c r="O132" s="27">
        <v>200000</v>
      </c>
      <c r="P132" s="27"/>
      <c r="Q132" s="12"/>
    </row>
    <row r="133" spans="1:17" s="38" customFormat="1" ht="19.5" customHeight="1">
      <c r="A133" s="20"/>
      <c r="B133" s="307"/>
      <c r="C133" s="10" t="s">
        <v>123</v>
      </c>
      <c r="D133" s="40">
        <v>425113</v>
      </c>
      <c r="E133" s="86" t="s">
        <v>124</v>
      </c>
      <c r="F133" s="79">
        <f t="shared" si="14"/>
        <v>50000</v>
      </c>
      <c r="G133" s="27"/>
      <c r="H133" s="27"/>
      <c r="I133" s="27">
        <v>50000</v>
      </c>
      <c r="J133" s="27"/>
      <c r="K133" s="12"/>
      <c r="L133" s="79">
        <f t="shared" si="15"/>
        <v>50000</v>
      </c>
      <c r="M133" s="27"/>
      <c r="N133" s="27"/>
      <c r="O133" s="27">
        <v>50000</v>
      </c>
      <c r="P133" s="27"/>
      <c r="Q133" s="12"/>
    </row>
    <row r="134" spans="1:17" s="38" customFormat="1" ht="19.5" customHeight="1">
      <c r="A134" s="20"/>
      <c r="B134" s="307"/>
      <c r="C134" s="241" t="s">
        <v>125</v>
      </c>
      <c r="D134" s="200">
        <v>425114</v>
      </c>
      <c r="E134" s="201" t="s">
        <v>126</v>
      </c>
      <c r="F134" s="197">
        <f>+I134</f>
        <v>50000</v>
      </c>
      <c r="G134" s="198"/>
      <c r="H134" s="198"/>
      <c r="I134" s="198">
        <v>50000</v>
      </c>
      <c r="J134" s="198"/>
      <c r="K134" s="226"/>
      <c r="L134" s="197">
        <f>+O134</f>
        <v>162000</v>
      </c>
      <c r="M134" s="198"/>
      <c r="N134" s="198"/>
      <c r="O134" s="198">
        <f>50000+112000</f>
        <v>162000</v>
      </c>
      <c r="P134" s="198"/>
      <c r="Q134" s="226"/>
    </row>
    <row r="135" spans="1:17" s="38" customFormat="1" ht="19.5" customHeight="1">
      <c r="A135" s="20"/>
      <c r="B135" s="307"/>
      <c r="C135" s="241" t="s">
        <v>127</v>
      </c>
      <c r="D135" s="200">
        <v>425115</v>
      </c>
      <c r="E135" s="201" t="s">
        <v>128</v>
      </c>
      <c r="F135" s="197">
        <f aca="true" t="shared" si="16" ref="F135:F158">SUM(G135:K135)</f>
        <v>150000</v>
      </c>
      <c r="G135" s="198"/>
      <c r="H135" s="198"/>
      <c r="I135" s="198">
        <v>150000</v>
      </c>
      <c r="J135" s="198"/>
      <c r="K135" s="226"/>
      <c r="L135" s="197">
        <f aca="true" t="shared" si="17" ref="L135:L158">SUM(M135:Q135)</f>
        <v>350000</v>
      </c>
      <c r="M135" s="198"/>
      <c r="N135" s="198"/>
      <c r="O135" s="198">
        <f>150000+200000</f>
        <v>350000</v>
      </c>
      <c r="P135" s="198"/>
      <c r="Q135" s="226"/>
    </row>
    <row r="136" spans="1:17" s="38" customFormat="1" ht="19.5" customHeight="1">
      <c r="A136" s="20"/>
      <c r="B136" s="307"/>
      <c r="C136" s="10" t="s">
        <v>129</v>
      </c>
      <c r="D136" s="40">
        <v>425116</v>
      </c>
      <c r="E136" s="86" t="s">
        <v>68</v>
      </c>
      <c r="F136" s="79">
        <f t="shared" si="16"/>
        <v>150000</v>
      </c>
      <c r="G136" s="27"/>
      <c r="H136" s="27"/>
      <c r="I136" s="27">
        <v>150000</v>
      </c>
      <c r="J136" s="27"/>
      <c r="K136" s="12"/>
      <c r="L136" s="79">
        <f t="shared" si="17"/>
        <v>150000</v>
      </c>
      <c r="M136" s="27"/>
      <c r="N136" s="27"/>
      <c r="O136" s="27">
        <v>150000</v>
      </c>
      <c r="P136" s="27"/>
      <c r="Q136" s="12"/>
    </row>
    <row r="137" spans="1:17" s="38" customFormat="1" ht="19.5" customHeight="1">
      <c r="A137" s="20"/>
      <c r="B137" s="307"/>
      <c r="C137" s="10" t="s">
        <v>130</v>
      </c>
      <c r="D137" s="40">
        <v>425117</v>
      </c>
      <c r="E137" s="86" t="s">
        <v>131</v>
      </c>
      <c r="F137" s="79">
        <f t="shared" si="16"/>
        <v>200000</v>
      </c>
      <c r="G137" s="27"/>
      <c r="H137" s="27"/>
      <c r="I137" s="27">
        <v>200000</v>
      </c>
      <c r="J137" s="27"/>
      <c r="K137" s="12"/>
      <c r="L137" s="79">
        <f t="shared" si="17"/>
        <v>200000</v>
      </c>
      <c r="M137" s="27"/>
      <c r="N137" s="27"/>
      <c r="O137" s="27">
        <v>200000</v>
      </c>
      <c r="P137" s="27"/>
      <c r="Q137" s="12"/>
    </row>
    <row r="138" spans="1:17" s="38" customFormat="1" ht="19.5" customHeight="1">
      <c r="A138" s="20"/>
      <c r="B138" s="307"/>
      <c r="C138" s="10" t="s">
        <v>132</v>
      </c>
      <c r="D138" s="40">
        <v>425118</v>
      </c>
      <c r="E138" s="86" t="s">
        <v>270</v>
      </c>
      <c r="F138" s="79">
        <f t="shared" si="16"/>
        <v>100000</v>
      </c>
      <c r="G138" s="27"/>
      <c r="H138" s="27"/>
      <c r="I138" s="27">
        <v>100000</v>
      </c>
      <c r="J138" s="27"/>
      <c r="K138" s="12"/>
      <c r="L138" s="79">
        <f t="shared" si="17"/>
        <v>100000</v>
      </c>
      <c r="M138" s="27"/>
      <c r="N138" s="27"/>
      <c r="O138" s="27">
        <v>100000</v>
      </c>
      <c r="P138" s="27"/>
      <c r="Q138" s="12"/>
    </row>
    <row r="139" spans="1:17" s="38" customFormat="1" ht="19.5" customHeight="1">
      <c r="A139" s="20"/>
      <c r="B139" s="307"/>
      <c r="C139" s="241" t="s">
        <v>134</v>
      </c>
      <c r="D139" s="200">
        <v>425119</v>
      </c>
      <c r="E139" s="201" t="s">
        <v>133</v>
      </c>
      <c r="F139" s="197">
        <f t="shared" si="16"/>
        <v>450000</v>
      </c>
      <c r="G139" s="198"/>
      <c r="H139" s="198"/>
      <c r="I139" s="198">
        <v>250000</v>
      </c>
      <c r="J139" s="198"/>
      <c r="K139" s="226">
        <v>200000</v>
      </c>
      <c r="L139" s="197">
        <f t="shared" si="17"/>
        <v>613284</v>
      </c>
      <c r="M139" s="198"/>
      <c r="N139" s="198"/>
      <c r="O139" s="198">
        <f>250000+163284</f>
        <v>413284</v>
      </c>
      <c r="P139" s="198"/>
      <c r="Q139" s="226">
        <v>200000</v>
      </c>
    </row>
    <row r="140" spans="1:17" s="38" customFormat="1" ht="19.5" customHeight="1">
      <c r="A140" s="20"/>
      <c r="B140" s="65"/>
      <c r="C140" s="10" t="s">
        <v>254</v>
      </c>
      <c r="D140" s="40">
        <v>425191</v>
      </c>
      <c r="E140" s="86" t="s">
        <v>135</v>
      </c>
      <c r="F140" s="79">
        <f t="shared" si="16"/>
        <v>30000</v>
      </c>
      <c r="G140" s="27"/>
      <c r="H140" s="27"/>
      <c r="I140" s="27">
        <v>30000</v>
      </c>
      <c r="J140" s="27"/>
      <c r="K140" s="12"/>
      <c r="L140" s="79">
        <f t="shared" si="17"/>
        <v>30000</v>
      </c>
      <c r="M140" s="27"/>
      <c r="N140" s="27"/>
      <c r="O140" s="27">
        <v>30000</v>
      </c>
      <c r="P140" s="27"/>
      <c r="Q140" s="12"/>
    </row>
    <row r="141" spans="1:17" s="38" customFormat="1" ht="24.75" customHeight="1">
      <c r="A141" s="20"/>
      <c r="B141" s="155"/>
      <c r="C141" s="9" t="s">
        <v>136</v>
      </c>
      <c r="D141" s="4">
        <v>425200</v>
      </c>
      <c r="E141" s="16" t="s">
        <v>137</v>
      </c>
      <c r="F141" s="78">
        <f t="shared" si="16"/>
        <v>12744000</v>
      </c>
      <c r="G141" s="11"/>
      <c r="H141" s="11"/>
      <c r="I141" s="11">
        <f>+I142+I145+I153</f>
        <v>10622000</v>
      </c>
      <c r="J141" s="11"/>
      <c r="K141" s="11">
        <f>+K142+K145+K153</f>
        <v>2122000</v>
      </c>
      <c r="L141" s="78">
        <f t="shared" si="17"/>
        <v>14116000</v>
      </c>
      <c r="M141" s="11"/>
      <c r="N141" s="11"/>
      <c r="O141" s="11">
        <f>+O142+O145+O153</f>
        <v>10474000</v>
      </c>
      <c r="P141" s="11">
        <f>+P142+P145+P153</f>
        <v>526992</v>
      </c>
      <c r="Q141" s="11">
        <f>+Q142+Q145+Q153</f>
        <v>3115008</v>
      </c>
    </row>
    <row r="142" spans="1:17" s="38" customFormat="1" ht="24.75" customHeight="1">
      <c r="A142" s="20"/>
      <c r="B142" s="160"/>
      <c r="C142" s="9" t="s">
        <v>138</v>
      </c>
      <c r="D142" s="4">
        <v>425210</v>
      </c>
      <c r="E142" s="16" t="s">
        <v>139</v>
      </c>
      <c r="F142" s="78">
        <f t="shared" si="16"/>
        <v>11012000</v>
      </c>
      <c r="G142" s="11"/>
      <c r="H142" s="11"/>
      <c r="I142" s="11">
        <f>+I143+I144</f>
        <v>9030000</v>
      </c>
      <c r="J142" s="11"/>
      <c r="K142" s="11">
        <f>+K143+K144</f>
        <v>1982000</v>
      </c>
      <c r="L142" s="78">
        <f t="shared" si="17"/>
        <v>12352000</v>
      </c>
      <c r="M142" s="11"/>
      <c r="N142" s="11"/>
      <c r="O142" s="11">
        <f>+O143+O144</f>
        <v>8850000</v>
      </c>
      <c r="P142" s="11">
        <f>+P143+P144</f>
        <v>526992</v>
      </c>
      <c r="Q142" s="11">
        <f>+Q143+Q144</f>
        <v>2975008</v>
      </c>
    </row>
    <row r="143" spans="1:17" s="38" customFormat="1" ht="19.5" customHeight="1">
      <c r="A143" s="26"/>
      <c r="B143" s="25"/>
      <c r="C143" s="206" t="s">
        <v>140</v>
      </c>
      <c r="D143" s="200">
        <v>42521101</v>
      </c>
      <c r="E143" s="201" t="s">
        <v>272</v>
      </c>
      <c r="F143" s="205">
        <f t="shared" si="16"/>
        <v>10712000</v>
      </c>
      <c r="G143" s="198"/>
      <c r="H143" s="198"/>
      <c r="I143" s="198">
        <f>9000000-170000</f>
        <v>8830000</v>
      </c>
      <c r="J143" s="198"/>
      <c r="K143" s="198">
        <v>1882000</v>
      </c>
      <c r="L143" s="205">
        <f t="shared" si="17"/>
        <v>12212000</v>
      </c>
      <c r="M143" s="198"/>
      <c r="N143" s="198"/>
      <c r="O143" s="198">
        <f>9000000-170000</f>
        <v>8830000</v>
      </c>
      <c r="P143" s="198">
        <v>526992</v>
      </c>
      <c r="Q143" s="198">
        <f>1882000+1500000-526992</f>
        <v>2855008</v>
      </c>
    </row>
    <row r="144" spans="1:17" s="38" customFormat="1" ht="19.5" customHeight="1">
      <c r="A144" s="26"/>
      <c r="B144" s="25"/>
      <c r="C144" s="206" t="s">
        <v>141</v>
      </c>
      <c r="D144" s="200">
        <v>42521102</v>
      </c>
      <c r="E144" s="245" t="s">
        <v>336</v>
      </c>
      <c r="F144" s="205">
        <f t="shared" si="16"/>
        <v>300000</v>
      </c>
      <c r="G144" s="227"/>
      <c r="H144" s="227"/>
      <c r="I144" s="227">
        <v>200000</v>
      </c>
      <c r="J144" s="198"/>
      <c r="K144" s="198">
        <v>100000</v>
      </c>
      <c r="L144" s="205">
        <f t="shared" si="17"/>
        <v>140000</v>
      </c>
      <c r="M144" s="227"/>
      <c r="N144" s="227"/>
      <c r="O144" s="227">
        <v>20000</v>
      </c>
      <c r="P144" s="198"/>
      <c r="Q144" s="198">
        <v>120000</v>
      </c>
    </row>
    <row r="145" spans="1:17" s="38" customFormat="1" ht="24.75" customHeight="1">
      <c r="A145" s="20"/>
      <c r="B145" s="159"/>
      <c r="C145" s="9" t="s">
        <v>142</v>
      </c>
      <c r="D145" s="53">
        <v>425220</v>
      </c>
      <c r="E145" s="16" t="s">
        <v>143</v>
      </c>
      <c r="F145" s="78">
        <f t="shared" si="16"/>
        <v>605000</v>
      </c>
      <c r="G145" s="11"/>
      <c r="H145" s="11"/>
      <c r="I145" s="11">
        <f>+I146+I147+I148+I149+I150+I151+I152</f>
        <v>465000</v>
      </c>
      <c r="J145" s="11"/>
      <c r="K145" s="11">
        <f>+K146+K147+K148+K149+K150+K151+K152</f>
        <v>140000</v>
      </c>
      <c r="L145" s="78">
        <f t="shared" si="17"/>
        <v>637000</v>
      </c>
      <c r="M145" s="11"/>
      <c r="N145" s="11"/>
      <c r="O145" s="11">
        <f>+O146+O147+O148+O149+O150+O151+O152</f>
        <v>497000</v>
      </c>
      <c r="P145" s="11"/>
      <c r="Q145" s="11">
        <f>+Q146+Q147+Q148+Q149+Q150+Q151+Q152</f>
        <v>140000</v>
      </c>
    </row>
    <row r="146" spans="1:17" s="38" customFormat="1" ht="19.5" customHeight="1">
      <c r="A146" s="26"/>
      <c r="B146" s="34"/>
      <c r="C146" s="18" t="s">
        <v>144</v>
      </c>
      <c r="D146" s="40">
        <v>425221</v>
      </c>
      <c r="E146" s="86" t="s">
        <v>145</v>
      </c>
      <c r="F146" s="79">
        <f t="shared" si="16"/>
        <v>20000</v>
      </c>
      <c r="G146" s="11"/>
      <c r="H146" s="11"/>
      <c r="I146" s="27">
        <v>20000</v>
      </c>
      <c r="J146" s="27"/>
      <c r="K146" s="27"/>
      <c r="L146" s="79">
        <f t="shared" si="17"/>
        <v>20000</v>
      </c>
      <c r="M146" s="11"/>
      <c r="N146" s="11"/>
      <c r="O146" s="27">
        <v>20000</v>
      </c>
      <c r="P146" s="27"/>
      <c r="Q146" s="27"/>
    </row>
    <row r="147" spans="1:17" s="38" customFormat="1" ht="19.5" customHeight="1">
      <c r="A147" s="26"/>
      <c r="B147" s="25"/>
      <c r="C147" s="18" t="s">
        <v>146</v>
      </c>
      <c r="D147" s="40">
        <v>425222</v>
      </c>
      <c r="E147" s="86" t="s">
        <v>147</v>
      </c>
      <c r="F147" s="79">
        <f t="shared" si="16"/>
        <v>100000</v>
      </c>
      <c r="G147" s="11"/>
      <c r="H147" s="11"/>
      <c r="I147" s="27">
        <v>100000</v>
      </c>
      <c r="J147" s="27"/>
      <c r="K147" s="27"/>
      <c r="L147" s="79">
        <f t="shared" si="17"/>
        <v>100000</v>
      </c>
      <c r="M147" s="11"/>
      <c r="N147" s="11"/>
      <c r="O147" s="27">
        <v>100000</v>
      </c>
      <c r="P147" s="27"/>
      <c r="Q147" s="27"/>
    </row>
    <row r="148" spans="1:17" s="38" customFormat="1" ht="19.5" customHeight="1">
      <c r="A148" s="26"/>
      <c r="B148" s="25"/>
      <c r="C148" s="18" t="s">
        <v>148</v>
      </c>
      <c r="D148" s="40">
        <v>425223</v>
      </c>
      <c r="E148" s="86" t="s">
        <v>149</v>
      </c>
      <c r="F148" s="79">
        <f t="shared" si="16"/>
        <v>30000</v>
      </c>
      <c r="G148" s="11"/>
      <c r="H148" s="11"/>
      <c r="I148" s="27">
        <v>30000</v>
      </c>
      <c r="J148" s="27"/>
      <c r="K148" s="27"/>
      <c r="L148" s="79">
        <f t="shared" si="17"/>
        <v>30000</v>
      </c>
      <c r="M148" s="11"/>
      <c r="N148" s="11"/>
      <c r="O148" s="27">
        <v>30000</v>
      </c>
      <c r="P148" s="27"/>
      <c r="Q148" s="27"/>
    </row>
    <row r="149" spans="1:17" s="38" customFormat="1" ht="19.5" customHeight="1">
      <c r="A149" s="26"/>
      <c r="B149" s="25"/>
      <c r="C149" s="18" t="s">
        <v>150</v>
      </c>
      <c r="D149" s="40">
        <v>425224</v>
      </c>
      <c r="E149" s="86" t="s">
        <v>151</v>
      </c>
      <c r="F149" s="79">
        <f t="shared" si="16"/>
        <v>45000</v>
      </c>
      <c r="G149" s="11"/>
      <c r="H149" s="11"/>
      <c r="I149" s="27">
        <f>15000+30000</f>
        <v>45000</v>
      </c>
      <c r="J149" s="27"/>
      <c r="K149" s="27"/>
      <c r="L149" s="79">
        <f t="shared" si="17"/>
        <v>45000</v>
      </c>
      <c r="M149" s="11"/>
      <c r="N149" s="11"/>
      <c r="O149" s="27">
        <f>15000+30000</f>
        <v>45000</v>
      </c>
      <c r="P149" s="27"/>
      <c r="Q149" s="27"/>
    </row>
    <row r="150" spans="1:17" s="38" customFormat="1" ht="19.5" customHeight="1">
      <c r="A150" s="26"/>
      <c r="B150" s="25"/>
      <c r="C150" s="199" t="s">
        <v>152</v>
      </c>
      <c r="D150" s="200">
        <v>425225</v>
      </c>
      <c r="E150" s="201" t="s">
        <v>153</v>
      </c>
      <c r="F150" s="197">
        <f t="shared" si="16"/>
        <v>60000</v>
      </c>
      <c r="G150" s="225"/>
      <c r="H150" s="225"/>
      <c r="I150" s="198">
        <v>60000</v>
      </c>
      <c r="J150" s="198"/>
      <c r="K150" s="198"/>
      <c r="L150" s="197">
        <f t="shared" si="17"/>
        <v>92000</v>
      </c>
      <c r="M150" s="225"/>
      <c r="N150" s="225"/>
      <c r="O150" s="198">
        <f>60000+32000</f>
        <v>92000</v>
      </c>
      <c r="P150" s="198"/>
      <c r="Q150" s="198"/>
    </row>
    <row r="151" spans="1:17" s="38" customFormat="1" ht="19.5" customHeight="1">
      <c r="A151" s="26"/>
      <c r="B151" s="25"/>
      <c r="C151" s="18" t="s">
        <v>154</v>
      </c>
      <c r="D151" s="40">
        <v>425226</v>
      </c>
      <c r="E151" s="86" t="s">
        <v>155</v>
      </c>
      <c r="F151" s="79">
        <f t="shared" si="16"/>
        <v>10000</v>
      </c>
      <c r="G151" s="11"/>
      <c r="H151" s="11"/>
      <c r="I151" s="27">
        <v>10000</v>
      </c>
      <c r="J151" s="27"/>
      <c r="K151" s="27"/>
      <c r="L151" s="79">
        <f t="shared" si="17"/>
        <v>10000</v>
      </c>
      <c r="M151" s="11"/>
      <c r="N151" s="11"/>
      <c r="O151" s="27">
        <v>10000</v>
      </c>
      <c r="P151" s="27"/>
      <c r="Q151" s="27"/>
    </row>
    <row r="152" spans="1:17" s="38" customFormat="1" ht="19.5" customHeight="1">
      <c r="A152" s="26"/>
      <c r="B152" s="25"/>
      <c r="C152" s="18" t="s">
        <v>156</v>
      </c>
      <c r="D152" s="40">
        <v>425227</v>
      </c>
      <c r="E152" s="86" t="s">
        <v>277</v>
      </c>
      <c r="F152" s="79">
        <f t="shared" si="16"/>
        <v>340000</v>
      </c>
      <c r="G152" s="11"/>
      <c r="H152" s="11"/>
      <c r="I152" s="27">
        <v>200000</v>
      </c>
      <c r="J152" s="27"/>
      <c r="K152" s="27">
        <v>140000</v>
      </c>
      <c r="L152" s="79">
        <f t="shared" si="17"/>
        <v>340000</v>
      </c>
      <c r="M152" s="11"/>
      <c r="N152" s="11"/>
      <c r="O152" s="27">
        <v>200000</v>
      </c>
      <c r="P152" s="27"/>
      <c r="Q152" s="27">
        <v>140000</v>
      </c>
    </row>
    <row r="153" spans="1:17" s="38" customFormat="1" ht="24" customHeight="1">
      <c r="A153" s="20"/>
      <c r="B153" s="160"/>
      <c r="C153" s="9" t="s">
        <v>159</v>
      </c>
      <c r="D153" s="4">
        <v>425250</v>
      </c>
      <c r="E153" s="16" t="s">
        <v>157</v>
      </c>
      <c r="F153" s="78">
        <f t="shared" si="16"/>
        <v>1127000</v>
      </c>
      <c r="G153" s="11"/>
      <c r="H153" s="11"/>
      <c r="I153" s="11">
        <f>+I154+I155+I156+I157+I158</f>
        <v>1127000</v>
      </c>
      <c r="J153" s="11"/>
      <c r="K153" s="11"/>
      <c r="L153" s="78">
        <f t="shared" si="17"/>
        <v>1127000</v>
      </c>
      <c r="M153" s="11"/>
      <c r="N153" s="11"/>
      <c r="O153" s="11">
        <f>+O154+O155+O156+O157+O158</f>
        <v>1127000</v>
      </c>
      <c r="P153" s="11"/>
      <c r="Q153" s="11"/>
    </row>
    <row r="154" spans="1:17" s="38" customFormat="1" ht="25.5" customHeight="1">
      <c r="A154" s="26"/>
      <c r="B154" s="34"/>
      <c r="C154" s="150" t="s">
        <v>324</v>
      </c>
      <c r="D154" s="40">
        <v>425251</v>
      </c>
      <c r="E154" s="86" t="s">
        <v>157</v>
      </c>
      <c r="F154" s="79">
        <f t="shared" si="16"/>
        <v>400000</v>
      </c>
      <c r="G154" s="11"/>
      <c r="H154" s="27"/>
      <c r="I154" s="27">
        <v>400000</v>
      </c>
      <c r="J154" s="11"/>
      <c r="K154" s="11"/>
      <c r="L154" s="79">
        <f t="shared" si="17"/>
        <v>400000</v>
      </c>
      <c r="M154" s="11"/>
      <c r="N154" s="27"/>
      <c r="O154" s="27">
        <v>400000</v>
      </c>
      <c r="P154" s="11"/>
      <c r="Q154" s="11"/>
    </row>
    <row r="155" spans="1:17" s="38" customFormat="1" ht="19.5" customHeight="1">
      <c r="A155" s="26"/>
      <c r="B155" s="51"/>
      <c r="C155" s="150" t="s">
        <v>325</v>
      </c>
      <c r="D155" s="40">
        <v>42525104</v>
      </c>
      <c r="E155" s="86" t="s">
        <v>158</v>
      </c>
      <c r="F155" s="79">
        <f t="shared" si="16"/>
        <v>600000</v>
      </c>
      <c r="G155" s="27"/>
      <c r="H155" s="27"/>
      <c r="I155" s="27">
        <v>600000</v>
      </c>
      <c r="J155" s="27"/>
      <c r="K155" s="27"/>
      <c r="L155" s="79">
        <f t="shared" si="17"/>
        <v>600000</v>
      </c>
      <c r="M155" s="27"/>
      <c r="N155" s="27"/>
      <c r="O155" s="27">
        <v>600000</v>
      </c>
      <c r="P155" s="27"/>
      <c r="Q155" s="27"/>
    </row>
    <row r="156" spans="1:17" s="38" customFormat="1" ht="24" customHeight="1">
      <c r="A156" s="26"/>
      <c r="B156" s="25"/>
      <c r="C156" s="150" t="s">
        <v>326</v>
      </c>
      <c r="D156" s="152">
        <v>425252</v>
      </c>
      <c r="E156" s="16" t="s">
        <v>160</v>
      </c>
      <c r="F156" s="106">
        <f t="shared" si="16"/>
        <v>50000</v>
      </c>
      <c r="G156" s="107"/>
      <c r="H156" s="107"/>
      <c r="I156" s="107">
        <v>50000</v>
      </c>
      <c r="J156" s="27"/>
      <c r="K156" s="27"/>
      <c r="L156" s="106">
        <f t="shared" si="17"/>
        <v>50000</v>
      </c>
      <c r="M156" s="107"/>
      <c r="N156" s="107"/>
      <c r="O156" s="107">
        <v>50000</v>
      </c>
      <c r="P156" s="27"/>
      <c r="Q156" s="27"/>
    </row>
    <row r="157" spans="1:17" s="38" customFormat="1" ht="24" customHeight="1">
      <c r="A157" s="26"/>
      <c r="B157" s="35"/>
      <c r="C157" s="150" t="s">
        <v>327</v>
      </c>
      <c r="D157" s="152">
        <v>425253</v>
      </c>
      <c r="E157" s="176" t="s">
        <v>253</v>
      </c>
      <c r="F157" s="106">
        <f t="shared" si="16"/>
        <v>70000</v>
      </c>
      <c r="G157" s="107"/>
      <c r="H157" s="107"/>
      <c r="I157" s="107">
        <v>70000</v>
      </c>
      <c r="J157" s="27"/>
      <c r="K157" s="27"/>
      <c r="L157" s="106">
        <f t="shared" si="17"/>
        <v>70000</v>
      </c>
      <c r="M157" s="107"/>
      <c r="N157" s="107"/>
      <c r="O157" s="107">
        <v>70000</v>
      </c>
      <c r="P157" s="27"/>
      <c r="Q157" s="27"/>
    </row>
    <row r="158" spans="1:17" s="38" customFormat="1" ht="24" customHeight="1">
      <c r="A158" s="26"/>
      <c r="B158" s="35"/>
      <c r="C158" s="150" t="s">
        <v>393</v>
      </c>
      <c r="D158" s="152">
        <v>425281</v>
      </c>
      <c r="E158" s="176" t="s">
        <v>391</v>
      </c>
      <c r="F158" s="106">
        <f t="shared" si="16"/>
        <v>7000</v>
      </c>
      <c r="G158" s="107"/>
      <c r="H158" s="107"/>
      <c r="I158" s="107">
        <v>7000</v>
      </c>
      <c r="J158" s="27"/>
      <c r="K158" s="27"/>
      <c r="L158" s="106">
        <f t="shared" si="17"/>
        <v>7000</v>
      </c>
      <c r="M158" s="107"/>
      <c r="N158" s="107"/>
      <c r="O158" s="107">
        <f>7000</f>
        <v>7000</v>
      </c>
      <c r="P158" s="27"/>
      <c r="Q158" s="27"/>
    </row>
    <row r="159" spans="1:17" s="38" customFormat="1" ht="24" customHeight="1">
      <c r="A159" s="13">
        <v>6</v>
      </c>
      <c r="B159" s="4">
        <v>426000</v>
      </c>
      <c r="C159" s="40"/>
      <c r="D159" s="272" t="s">
        <v>161</v>
      </c>
      <c r="E159" s="291"/>
      <c r="F159" s="78">
        <f>SUM(G159:K159)</f>
        <v>81251503</v>
      </c>
      <c r="G159" s="78"/>
      <c r="H159" s="78">
        <f>+H160+H167+H168+H176+H188+H193</f>
        <v>1200000</v>
      </c>
      <c r="I159" s="78">
        <f>+I160+I166+I168+I176+I188+I193+I174</f>
        <v>77844503</v>
      </c>
      <c r="J159" s="78"/>
      <c r="K159" s="78">
        <f>+K160+K167+K168+K176+K188+K193</f>
        <v>2207000</v>
      </c>
      <c r="L159" s="78">
        <f>SUM(M159:Q159)</f>
        <v>76520220</v>
      </c>
      <c r="M159" s="78"/>
      <c r="N159" s="78">
        <f>+N160+N167+N168+N176+N188+N193</f>
        <v>1200000</v>
      </c>
      <c r="O159" s="78">
        <f>+O160+O166+O168+O176+O188+O193+O174</f>
        <v>72028220</v>
      </c>
      <c r="P159" s="78"/>
      <c r="Q159" s="78">
        <f>+Q160+Q167+Q168+Q176+Q188+Q193+Q174</f>
        <v>3292000</v>
      </c>
    </row>
    <row r="160" spans="1:17" s="38" customFormat="1" ht="24.75" customHeight="1">
      <c r="A160" s="19"/>
      <c r="B160" s="57"/>
      <c r="C160" s="9" t="s">
        <v>162</v>
      </c>
      <c r="D160" s="4">
        <v>426100</v>
      </c>
      <c r="E160" s="16" t="s">
        <v>163</v>
      </c>
      <c r="F160" s="78">
        <f>SUM(G160:K160)</f>
        <v>3792000</v>
      </c>
      <c r="G160" s="11"/>
      <c r="H160" s="11">
        <f>+H161+H162+H163+H164</f>
        <v>1200000</v>
      </c>
      <c r="I160" s="11">
        <f>+I161+I162+I163+I164</f>
        <v>2292000</v>
      </c>
      <c r="J160" s="11"/>
      <c r="K160" s="11">
        <f>+K161+K162+K163+K165</f>
        <v>300000</v>
      </c>
      <c r="L160" s="78">
        <f>SUM(M160:Q160)</f>
        <v>3792000</v>
      </c>
      <c r="M160" s="11"/>
      <c r="N160" s="11">
        <f>+N161+N162+N163+N164</f>
        <v>1200000</v>
      </c>
      <c r="O160" s="11">
        <f>+O161+O162+O163+O164</f>
        <v>2292000</v>
      </c>
      <c r="P160" s="11"/>
      <c r="Q160" s="11">
        <f>+Q161+Q162+Q163+Q165</f>
        <v>300000</v>
      </c>
    </row>
    <row r="161" spans="1:17" s="38" customFormat="1" ht="19.5" customHeight="1">
      <c r="A161" s="26"/>
      <c r="B161" s="34"/>
      <c r="C161" s="18" t="s">
        <v>164</v>
      </c>
      <c r="D161" s="40">
        <v>426111</v>
      </c>
      <c r="E161" s="86" t="s">
        <v>165</v>
      </c>
      <c r="F161" s="79">
        <f>SUM(G161:K161)</f>
        <v>800000</v>
      </c>
      <c r="G161" s="27"/>
      <c r="H161" s="27"/>
      <c r="I161" s="27">
        <f>800000-140000</f>
        <v>660000</v>
      </c>
      <c r="J161" s="27"/>
      <c r="K161" s="27">
        <v>140000</v>
      </c>
      <c r="L161" s="79">
        <f>SUM(M161:Q161)</f>
        <v>800000</v>
      </c>
      <c r="M161" s="27"/>
      <c r="N161" s="27"/>
      <c r="O161" s="27">
        <f>800000-140000</f>
        <v>660000</v>
      </c>
      <c r="P161" s="27"/>
      <c r="Q161" s="27">
        <v>140000</v>
      </c>
    </row>
    <row r="162" spans="1:17" s="38" customFormat="1" ht="19.5" customHeight="1">
      <c r="A162" s="26"/>
      <c r="B162" s="25"/>
      <c r="C162" s="18" t="s">
        <v>166</v>
      </c>
      <c r="D162" s="40">
        <v>4261111</v>
      </c>
      <c r="E162" s="86" t="s">
        <v>167</v>
      </c>
      <c r="F162" s="79">
        <f>SUM(G162:K162)</f>
        <v>1500000</v>
      </c>
      <c r="G162" s="27"/>
      <c r="H162" s="27"/>
      <c r="I162" s="27">
        <f>1500000-100000</f>
        <v>1400000</v>
      </c>
      <c r="J162" s="27"/>
      <c r="K162" s="27">
        <v>100000</v>
      </c>
      <c r="L162" s="79">
        <f>SUM(M162:Q162)</f>
        <v>1500000</v>
      </c>
      <c r="M162" s="27"/>
      <c r="N162" s="27"/>
      <c r="O162" s="27">
        <f>1500000-100000</f>
        <v>1400000</v>
      </c>
      <c r="P162" s="27"/>
      <c r="Q162" s="27">
        <v>100000</v>
      </c>
    </row>
    <row r="163" spans="1:17" s="38" customFormat="1" ht="19.5" customHeight="1">
      <c r="A163" s="26"/>
      <c r="B163" s="25"/>
      <c r="C163" s="18" t="s">
        <v>168</v>
      </c>
      <c r="D163" s="40">
        <v>4261112</v>
      </c>
      <c r="E163" s="86" t="s">
        <v>169</v>
      </c>
      <c r="F163" s="79">
        <f>SUM(G163:K163)</f>
        <v>257000</v>
      </c>
      <c r="G163" s="27"/>
      <c r="H163" s="27"/>
      <c r="I163" s="27">
        <v>227000</v>
      </c>
      <c r="J163" s="27"/>
      <c r="K163" s="27">
        <v>30000</v>
      </c>
      <c r="L163" s="79">
        <f>SUM(M163:Q163)</f>
        <v>257000</v>
      </c>
      <c r="M163" s="27"/>
      <c r="N163" s="27"/>
      <c r="O163" s="27">
        <v>227000</v>
      </c>
      <c r="P163" s="27"/>
      <c r="Q163" s="27">
        <v>30000</v>
      </c>
    </row>
    <row r="164" spans="1:17" s="38" customFormat="1" ht="19.5" customHeight="1">
      <c r="A164" s="26"/>
      <c r="B164" s="25"/>
      <c r="C164" s="18" t="s">
        <v>170</v>
      </c>
      <c r="D164" s="152">
        <v>426124</v>
      </c>
      <c r="E164" s="151" t="s">
        <v>392</v>
      </c>
      <c r="F164" s="106">
        <f>+G164+H164+I164+J164+K164</f>
        <v>1205000</v>
      </c>
      <c r="G164" s="107"/>
      <c r="H164" s="107">
        <v>1200000</v>
      </c>
      <c r="I164" s="107">
        <v>5000</v>
      </c>
      <c r="J164" s="107"/>
      <c r="K164" s="107"/>
      <c r="L164" s="106">
        <f>+M164+N164+O164+P164+Q164</f>
        <v>1205000</v>
      </c>
      <c r="M164" s="107"/>
      <c r="N164" s="107">
        <v>1200000</v>
      </c>
      <c r="O164" s="107">
        <v>5000</v>
      </c>
      <c r="P164" s="107"/>
      <c r="Q164" s="107"/>
    </row>
    <row r="165" spans="1:17" s="38" customFormat="1" ht="19.5" customHeight="1">
      <c r="A165" s="26"/>
      <c r="B165" s="25"/>
      <c r="C165" s="18" t="s">
        <v>251</v>
      </c>
      <c r="D165" s="40">
        <v>426131</v>
      </c>
      <c r="E165" s="151" t="s">
        <v>261</v>
      </c>
      <c r="F165" s="79">
        <f>SUM(G165:K165)</f>
        <v>30000</v>
      </c>
      <c r="G165" s="27"/>
      <c r="H165" s="27"/>
      <c r="I165" s="11"/>
      <c r="J165" s="27"/>
      <c r="K165" s="27">
        <v>30000</v>
      </c>
      <c r="L165" s="79">
        <f>SUM(M165:Q165)</f>
        <v>30000</v>
      </c>
      <c r="M165" s="27"/>
      <c r="N165" s="27"/>
      <c r="O165" s="11"/>
      <c r="P165" s="27"/>
      <c r="Q165" s="27">
        <v>30000</v>
      </c>
    </row>
    <row r="166" spans="1:17" s="38" customFormat="1" ht="24.75" customHeight="1">
      <c r="A166" s="26"/>
      <c r="B166" s="9"/>
      <c r="C166" s="9" t="s">
        <v>171</v>
      </c>
      <c r="D166" s="4">
        <v>426300</v>
      </c>
      <c r="E166" s="16" t="s">
        <v>328</v>
      </c>
      <c r="F166" s="78">
        <f aca="true" t="shared" si="18" ref="F166:F173">SUM(G166:K166)</f>
        <v>252250</v>
      </c>
      <c r="G166" s="11"/>
      <c r="H166" s="11"/>
      <c r="I166" s="11">
        <f>+I167</f>
        <v>52250</v>
      </c>
      <c r="J166" s="11"/>
      <c r="K166" s="11">
        <f>+K167</f>
        <v>200000</v>
      </c>
      <c r="L166" s="78">
        <f aca="true" t="shared" si="19" ref="L166:L173">SUM(M166:Q166)</f>
        <v>270000</v>
      </c>
      <c r="M166" s="11"/>
      <c r="N166" s="11"/>
      <c r="O166" s="11">
        <f>+O167</f>
        <v>190000</v>
      </c>
      <c r="P166" s="11"/>
      <c r="Q166" s="11">
        <f>+Q167</f>
        <v>80000</v>
      </c>
    </row>
    <row r="167" spans="1:17" s="38" customFormat="1" ht="24.75" customHeight="1">
      <c r="A167" s="20"/>
      <c r="B167" s="69"/>
      <c r="C167" s="204" t="s">
        <v>329</v>
      </c>
      <c r="D167" s="234">
        <v>426311</v>
      </c>
      <c r="E167" s="203" t="s">
        <v>172</v>
      </c>
      <c r="F167" s="205">
        <f t="shared" si="18"/>
        <v>252250</v>
      </c>
      <c r="G167" s="228"/>
      <c r="H167" s="228"/>
      <c r="I167" s="228">
        <v>52250</v>
      </c>
      <c r="J167" s="228"/>
      <c r="K167" s="228">
        <v>200000</v>
      </c>
      <c r="L167" s="205">
        <f t="shared" si="19"/>
        <v>270000</v>
      </c>
      <c r="M167" s="228"/>
      <c r="N167" s="228"/>
      <c r="O167" s="228">
        <v>190000</v>
      </c>
      <c r="P167" s="228"/>
      <c r="Q167" s="228">
        <v>80000</v>
      </c>
    </row>
    <row r="168" spans="1:17" s="38" customFormat="1" ht="24.75" customHeight="1">
      <c r="A168" s="20"/>
      <c r="B168" s="32"/>
      <c r="C168" s="9" t="s">
        <v>173</v>
      </c>
      <c r="D168" s="4">
        <v>426400</v>
      </c>
      <c r="E168" s="16" t="s">
        <v>174</v>
      </c>
      <c r="F168" s="78">
        <f t="shared" si="18"/>
        <v>12410000</v>
      </c>
      <c r="G168" s="11"/>
      <c r="H168" s="11"/>
      <c r="I168" s="11">
        <f>+I169+I170+I171+I172+I173</f>
        <v>12410000</v>
      </c>
      <c r="J168" s="11"/>
      <c r="K168" s="11"/>
      <c r="L168" s="78">
        <f t="shared" si="19"/>
        <v>12869000</v>
      </c>
      <c r="M168" s="11"/>
      <c r="N168" s="11"/>
      <c r="O168" s="11">
        <f>+O169+O170+O171+O172+O173</f>
        <v>11869000</v>
      </c>
      <c r="P168" s="11"/>
      <c r="Q168" s="11">
        <f>+Q170</f>
        <v>1000000</v>
      </c>
    </row>
    <row r="169" spans="1:17" s="38" customFormat="1" ht="19.5" customHeight="1">
      <c r="A169" s="20"/>
      <c r="B169" s="34"/>
      <c r="C169" s="241" t="s">
        <v>175</v>
      </c>
      <c r="D169" s="200">
        <v>4264111</v>
      </c>
      <c r="E169" s="201" t="s">
        <v>176</v>
      </c>
      <c r="F169" s="197">
        <f t="shared" si="18"/>
        <v>150000</v>
      </c>
      <c r="G169" s="198"/>
      <c r="H169" s="198"/>
      <c r="I169" s="198">
        <v>150000</v>
      </c>
      <c r="J169" s="198"/>
      <c r="K169" s="198"/>
      <c r="L169" s="197">
        <f t="shared" si="19"/>
        <v>50000</v>
      </c>
      <c r="M169" s="198"/>
      <c r="N169" s="198"/>
      <c r="O169" s="198">
        <f>150000-100000</f>
        <v>50000</v>
      </c>
      <c r="P169" s="198"/>
      <c r="Q169" s="198"/>
    </row>
    <row r="170" spans="1:17" s="38" customFormat="1" ht="19.5" customHeight="1">
      <c r="A170" s="20"/>
      <c r="B170" s="25"/>
      <c r="C170" s="241" t="s">
        <v>177</v>
      </c>
      <c r="D170" s="200">
        <v>426412</v>
      </c>
      <c r="E170" s="201" t="s">
        <v>179</v>
      </c>
      <c r="F170" s="197">
        <f t="shared" si="18"/>
        <v>11360000</v>
      </c>
      <c r="G170" s="198"/>
      <c r="H170" s="198"/>
      <c r="I170" s="198">
        <f>11000000+200000+400000-400000+160000</f>
        <v>11360000</v>
      </c>
      <c r="J170" s="198"/>
      <c r="K170" s="229"/>
      <c r="L170" s="197">
        <f t="shared" si="19"/>
        <v>11919000</v>
      </c>
      <c r="M170" s="198"/>
      <c r="N170" s="198"/>
      <c r="O170" s="198">
        <f>11000000+200000+400000-400000+160000-441000</f>
        <v>10919000</v>
      </c>
      <c r="P170" s="198"/>
      <c r="Q170" s="228">
        <v>1000000</v>
      </c>
    </row>
    <row r="171" spans="1:17" s="38" customFormat="1" ht="19.5" customHeight="1">
      <c r="A171" s="20"/>
      <c r="B171" s="25"/>
      <c r="C171" s="10" t="s">
        <v>178</v>
      </c>
      <c r="D171" s="40">
        <v>426413</v>
      </c>
      <c r="E171" s="86" t="s">
        <v>181</v>
      </c>
      <c r="F171" s="79">
        <f t="shared" si="18"/>
        <v>50000</v>
      </c>
      <c r="G171" s="27"/>
      <c r="H171" s="27"/>
      <c r="I171" s="27">
        <v>50000</v>
      </c>
      <c r="J171" s="27"/>
      <c r="K171" s="27"/>
      <c r="L171" s="79">
        <f t="shared" si="19"/>
        <v>50000</v>
      </c>
      <c r="M171" s="27"/>
      <c r="N171" s="27"/>
      <c r="O171" s="27">
        <v>50000</v>
      </c>
      <c r="P171" s="27"/>
      <c r="Q171" s="27"/>
    </row>
    <row r="172" spans="1:17" s="38" customFormat="1" ht="19.5" customHeight="1">
      <c r="A172" s="20"/>
      <c r="B172" s="25"/>
      <c r="C172" s="10" t="s">
        <v>180</v>
      </c>
      <c r="D172" s="40">
        <v>4264911</v>
      </c>
      <c r="E172" s="86" t="s">
        <v>183</v>
      </c>
      <c r="F172" s="79">
        <f t="shared" si="18"/>
        <v>750000</v>
      </c>
      <c r="G172" s="27"/>
      <c r="H172" s="27"/>
      <c r="I172" s="27">
        <v>750000</v>
      </c>
      <c r="J172" s="27"/>
      <c r="K172" s="27"/>
      <c r="L172" s="79">
        <f t="shared" si="19"/>
        <v>750000</v>
      </c>
      <c r="M172" s="27"/>
      <c r="N172" s="27"/>
      <c r="O172" s="27">
        <v>750000</v>
      </c>
      <c r="P172" s="27"/>
      <c r="Q172" s="27"/>
    </row>
    <row r="173" spans="1:17" s="38" customFormat="1" ht="19.5" customHeight="1">
      <c r="A173" s="20"/>
      <c r="B173" s="35"/>
      <c r="C173" s="10" t="s">
        <v>182</v>
      </c>
      <c r="D173" s="40">
        <v>4264912</v>
      </c>
      <c r="E173" s="86" t="s">
        <v>184</v>
      </c>
      <c r="F173" s="79">
        <f t="shared" si="18"/>
        <v>100000</v>
      </c>
      <c r="G173" s="27"/>
      <c r="H173" s="27"/>
      <c r="I173" s="27">
        <v>100000</v>
      </c>
      <c r="J173" s="27"/>
      <c r="K173" s="27"/>
      <c r="L173" s="79">
        <f t="shared" si="19"/>
        <v>100000</v>
      </c>
      <c r="M173" s="27"/>
      <c r="N173" s="27"/>
      <c r="O173" s="27">
        <v>100000</v>
      </c>
      <c r="P173" s="27"/>
      <c r="Q173" s="27"/>
    </row>
    <row r="174" spans="1:17" s="38" customFormat="1" ht="19.5" customHeight="1">
      <c r="A174" s="20"/>
      <c r="B174" s="35"/>
      <c r="C174" s="9" t="s">
        <v>185</v>
      </c>
      <c r="D174" s="4">
        <v>426500</v>
      </c>
      <c r="E174" s="151" t="s">
        <v>340</v>
      </c>
      <c r="F174" s="78">
        <f>+G174+H174+I174+J174+K174</f>
        <v>200000</v>
      </c>
      <c r="G174" s="11"/>
      <c r="H174" s="11"/>
      <c r="I174" s="11">
        <f>+I175</f>
        <v>200000</v>
      </c>
      <c r="J174" s="11"/>
      <c r="K174" s="11"/>
      <c r="L174" s="78">
        <f>+M174+N174+O174+P174+Q174</f>
        <v>355000</v>
      </c>
      <c r="M174" s="11"/>
      <c r="N174" s="11"/>
      <c r="O174" s="11">
        <f>+O175</f>
        <v>350000</v>
      </c>
      <c r="P174" s="11"/>
      <c r="Q174" s="11">
        <f>+Q175</f>
        <v>5000</v>
      </c>
    </row>
    <row r="175" spans="1:17" s="38" customFormat="1" ht="19.5" customHeight="1">
      <c r="A175" s="20"/>
      <c r="B175" s="35"/>
      <c r="C175" s="202" t="s">
        <v>187</v>
      </c>
      <c r="D175" s="200">
        <v>426591</v>
      </c>
      <c r="E175" s="203" t="s">
        <v>339</v>
      </c>
      <c r="F175" s="197">
        <f>+G175+H175+I175+J175+K175</f>
        <v>205000</v>
      </c>
      <c r="G175" s="198"/>
      <c r="H175" s="198"/>
      <c r="I175" s="198">
        <v>200000</v>
      </c>
      <c r="J175" s="198"/>
      <c r="K175" s="198">
        <v>5000</v>
      </c>
      <c r="L175" s="197">
        <f>+M175+N175+O175+P175+Q175</f>
        <v>355000</v>
      </c>
      <c r="M175" s="198"/>
      <c r="N175" s="198"/>
      <c r="O175" s="198">
        <v>350000</v>
      </c>
      <c r="P175" s="198"/>
      <c r="Q175" s="198">
        <v>5000</v>
      </c>
    </row>
    <row r="176" spans="1:17" s="38" customFormat="1" ht="26.25" customHeight="1">
      <c r="A176" s="20"/>
      <c r="B176" s="32"/>
      <c r="C176" s="9" t="s">
        <v>198</v>
      </c>
      <c r="D176" s="4">
        <v>426700</v>
      </c>
      <c r="E176" s="16" t="s">
        <v>186</v>
      </c>
      <c r="F176" s="78">
        <f>SUM(G176:K176)</f>
        <v>61288253</v>
      </c>
      <c r="G176" s="11"/>
      <c r="H176" s="11"/>
      <c r="I176" s="11">
        <f>+I177+I181+I182+I185</f>
        <v>59733253</v>
      </c>
      <c r="J176" s="11"/>
      <c r="K176" s="11">
        <f>+K177+K181+K182+K185</f>
        <v>1555000</v>
      </c>
      <c r="L176" s="78">
        <f>SUM(M176:Q176)</f>
        <v>56647253</v>
      </c>
      <c r="M176" s="11"/>
      <c r="N176" s="11"/>
      <c r="O176" s="11">
        <f>+O177+O181+O182+O185</f>
        <v>54892253</v>
      </c>
      <c r="P176" s="11"/>
      <c r="Q176" s="11">
        <f>+Q177+Q181+Q182+Q185</f>
        <v>1755000</v>
      </c>
    </row>
    <row r="177" spans="1:17" s="38" customFormat="1" ht="19.5" customHeight="1">
      <c r="A177" s="20"/>
      <c r="B177" s="67"/>
      <c r="C177" s="9" t="s">
        <v>199</v>
      </c>
      <c r="D177" s="4">
        <v>426710</v>
      </c>
      <c r="E177" s="86" t="s">
        <v>188</v>
      </c>
      <c r="F177" s="78">
        <f>+G177+H177+I177+J177+K177</f>
        <v>8485000</v>
      </c>
      <c r="G177" s="11"/>
      <c r="H177" s="11"/>
      <c r="I177" s="11">
        <f>+I178+I180+I179</f>
        <v>8230000</v>
      </c>
      <c r="J177" s="11"/>
      <c r="K177" s="11">
        <f>+K178+K180+K179</f>
        <v>255000</v>
      </c>
      <c r="L177" s="78">
        <f>+M177+N177+O177+P177+Q177</f>
        <v>5918000</v>
      </c>
      <c r="M177" s="11"/>
      <c r="N177" s="11"/>
      <c r="O177" s="11">
        <f>+O178+O180+O179</f>
        <v>5663000</v>
      </c>
      <c r="P177" s="11"/>
      <c r="Q177" s="11">
        <f>+Q178+Q180+Q179</f>
        <v>255000</v>
      </c>
    </row>
    <row r="178" spans="1:17" s="38" customFormat="1" ht="19.5" customHeight="1">
      <c r="A178" s="26"/>
      <c r="B178" s="34"/>
      <c r="C178" s="206" t="s">
        <v>344</v>
      </c>
      <c r="D178" s="200">
        <v>426711</v>
      </c>
      <c r="E178" s="201" t="s">
        <v>189</v>
      </c>
      <c r="F178" s="197">
        <f>+G178+H178+I178+J178+K178</f>
        <v>7730000</v>
      </c>
      <c r="G178" s="198"/>
      <c r="H178" s="198"/>
      <c r="I178" s="198">
        <v>7500000</v>
      </c>
      <c r="J178" s="198"/>
      <c r="K178" s="198">
        <v>230000</v>
      </c>
      <c r="L178" s="197">
        <f>+M178+N178+O178+P178+Q178</f>
        <v>5428000</v>
      </c>
      <c r="M178" s="198"/>
      <c r="N178" s="198"/>
      <c r="O178" s="198">
        <f>4998000+200000</f>
        <v>5198000</v>
      </c>
      <c r="P178" s="198"/>
      <c r="Q178" s="198">
        <v>230000</v>
      </c>
    </row>
    <row r="179" spans="1:17" s="38" customFormat="1" ht="19.5" customHeight="1">
      <c r="A179" s="26"/>
      <c r="B179" s="25"/>
      <c r="C179" s="206" t="s">
        <v>345</v>
      </c>
      <c r="D179" s="200">
        <v>42671103</v>
      </c>
      <c r="E179" s="201" t="s">
        <v>190</v>
      </c>
      <c r="F179" s="197">
        <f>+G179+H179+I179+J179+K179</f>
        <v>575000</v>
      </c>
      <c r="G179" s="198"/>
      <c r="H179" s="198"/>
      <c r="I179" s="198">
        <v>550000</v>
      </c>
      <c r="J179" s="198"/>
      <c r="K179" s="198">
        <v>25000</v>
      </c>
      <c r="L179" s="197">
        <f>+M179+N179+O179+P179+Q179</f>
        <v>425000</v>
      </c>
      <c r="M179" s="198"/>
      <c r="N179" s="198"/>
      <c r="O179" s="198">
        <f>300000+100000</f>
        <v>400000</v>
      </c>
      <c r="P179" s="198"/>
      <c r="Q179" s="198">
        <v>25000</v>
      </c>
    </row>
    <row r="180" spans="1:17" s="38" customFormat="1" ht="19.5" customHeight="1">
      <c r="A180" s="26"/>
      <c r="B180" s="25"/>
      <c r="C180" s="206" t="s">
        <v>346</v>
      </c>
      <c r="D180" s="200">
        <v>42671105</v>
      </c>
      <c r="E180" s="201" t="s">
        <v>191</v>
      </c>
      <c r="F180" s="197">
        <f>+G180+H180+I180</f>
        <v>180000</v>
      </c>
      <c r="G180" s="198"/>
      <c r="H180" s="198"/>
      <c r="I180" s="198">
        <f>80000+100000</f>
        <v>180000</v>
      </c>
      <c r="J180" s="198"/>
      <c r="K180" s="198"/>
      <c r="L180" s="197">
        <f>+M180+N180+O180</f>
        <v>65000</v>
      </c>
      <c r="M180" s="198"/>
      <c r="N180" s="198"/>
      <c r="O180" s="198">
        <v>65000</v>
      </c>
      <c r="P180" s="198"/>
      <c r="Q180" s="198"/>
    </row>
    <row r="181" spans="1:17" s="38" customFormat="1" ht="19.5" customHeight="1">
      <c r="A181" s="20"/>
      <c r="B181" s="69"/>
      <c r="C181" s="202" t="s">
        <v>201</v>
      </c>
      <c r="D181" s="246">
        <v>426721</v>
      </c>
      <c r="E181" s="243" t="s">
        <v>192</v>
      </c>
      <c r="F181" s="224">
        <f>+G181+H181+I181+J181+K181</f>
        <v>17974000</v>
      </c>
      <c r="G181" s="198"/>
      <c r="H181" s="198"/>
      <c r="I181" s="225">
        <f>9006600+1340710-700000-200000-456310+8483000-500000</f>
        <v>16974000</v>
      </c>
      <c r="J181" s="198"/>
      <c r="K181" s="225">
        <v>1000000</v>
      </c>
      <c r="L181" s="224">
        <f>+M181+N181+O181+P181+Q181</f>
        <v>15900000</v>
      </c>
      <c r="M181" s="198"/>
      <c r="N181" s="198"/>
      <c r="O181" s="225">
        <v>14700000</v>
      </c>
      <c r="P181" s="198"/>
      <c r="Q181" s="225">
        <f>1000000+200000</f>
        <v>1200000</v>
      </c>
    </row>
    <row r="182" spans="1:17" s="38" customFormat="1" ht="19.5" customHeight="1">
      <c r="A182" s="20"/>
      <c r="B182" s="57"/>
      <c r="C182" s="9" t="s">
        <v>202</v>
      </c>
      <c r="D182" s="4">
        <v>426750</v>
      </c>
      <c r="E182" s="16" t="s">
        <v>193</v>
      </c>
      <c r="F182" s="78">
        <f>SUM(G182:K182)</f>
        <v>29693253</v>
      </c>
      <c r="G182" s="27"/>
      <c r="H182" s="11"/>
      <c r="I182" s="11">
        <f>SUM(I183:I184)</f>
        <v>29443253</v>
      </c>
      <c r="J182" s="11"/>
      <c r="K182" s="11">
        <f>SUM(K183:K184)</f>
        <v>250000</v>
      </c>
      <c r="L182" s="78">
        <f>SUM(M182:Q182)</f>
        <v>29693253</v>
      </c>
      <c r="M182" s="27"/>
      <c r="N182" s="11"/>
      <c r="O182" s="11">
        <f>SUM(O183:O184)</f>
        <v>29443253</v>
      </c>
      <c r="P182" s="11"/>
      <c r="Q182" s="11">
        <f>SUM(Q183:Q184)</f>
        <v>250000</v>
      </c>
    </row>
    <row r="183" spans="1:17" s="38" customFormat="1" ht="19.5" customHeight="1">
      <c r="A183" s="20"/>
      <c r="B183" s="34"/>
      <c r="C183" s="148" t="s">
        <v>347</v>
      </c>
      <c r="D183" s="40">
        <v>426751</v>
      </c>
      <c r="E183" s="86" t="s">
        <v>194</v>
      </c>
      <c r="F183" s="79">
        <f>+G183+H183+I183+J183+K183</f>
        <v>18306000</v>
      </c>
      <c r="G183" s="27"/>
      <c r="H183" s="27"/>
      <c r="I183" s="27">
        <v>18056000</v>
      </c>
      <c r="J183" s="27"/>
      <c r="K183" s="27">
        <f>400000-150000</f>
        <v>250000</v>
      </c>
      <c r="L183" s="79">
        <f>+M183+N183+O183+P183+Q183</f>
        <v>18306000</v>
      </c>
      <c r="M183" s="27"/>
      <c r="N183" s="27"/>
      <c r="O183" s="27">
        <v>18056000</v>
      </c>
      <c r="P183" s="27"/>
      <c r="Q183" s="27">
        <f>400000-150000</f>
        <v>250000</v>
      </c>
    </row>
    <row r="184" spans="1:17" s="38" customFormat="1" ht="19.5" customHeight="1">
      <c r="A184" s="20"/>
      <c r="B184" s="22"/>
      <c r="C184" s="148" t="s">
        <v>348</v>
      </c>
      <c r="D184" s="7">
        <v>42675108</v>
      </c>
      <c r="E184" s="86" t="s">
        <v>195</v>
      </c>
      <c r="F184" s="79">
        <f>+G184+H184+I184+J184+K184</f>
        <v>11387253</v>
      </c>
      <c r="G184" s="27"/>
      <c r="H184" s="27"/>
      <c r="I184" s="27">
        <f>8833254+2553999</f>
        <v>11387253</v>
      </c>
      <c r="J184" s="27"/>
      <c r="K184" s="27"/>
      <c r="L184" s="79">
        <f>+M184+N184+O184+P184+Q184</f>
        <v>11387253</v>
      </c>
      <c r="M184" s="27"/>
      <c r="N184" s="27"/>
      <c r="O184" s="27">
        <f>8833254+2553999</f>
        <v>11387253</v>
      </c>
      <c r="P184" s="27"/>
      <c r="Q184" s="27"/>
    </row>
    <row r="185" spans="1:17" s="38" customFormat="1" ht="19.5" customHeight="1">
      <c r="A185" s="21"/>
      <c r="B185" s="32"/>
      <c r="C185" s="9" t="s">
        <v>349</v>
      </c>
      <c r="D185" s="4">
        <v>426790</v>
      </c>
      <c r="E185" s="16" t="s">
        <v>196</v>
      </c>
      <c r="F185" s="78">
        <f>+G185+H185+I185+J185+K185</f>
        <v>5136000</v>
      </c>
      <c r="G185" s="11"/>
      <c r="H185" s="11"/>
      <c r="I185" s="11">
        <f>I186+I187</f>
        <v>5086000</v>
      </c>
      <c r="J185" s="11"/>
      <c r="K185" s="11">
        <f>K186+K187</f>
        <v>50000</v>
      </c>
      <c r="L185" s="78">
        <f>+M185+N185+O185+P185+Q185</f>
        <v>5136000</v>
      </c>
      <c r="M185" s="11"/>
      <c r="N185" s="11"/>
      <c r="O185" s="11">
        <f>O186+O187</f>
        <v>5086000</v>
      </c>
      <c r="P185" s="11"/>
      <c r="Q185" s="11">
        <f>Q186+Q187</f>
        <v>50000</v>
      </c>
    </row>
    <row r="186" spans="1:17" s="38" customFormat="1" ht="19.5" customHeight="1">
      <c r="A186" s="20"/>
      <c r="B186" s="51"/>
      <c r="C186" s="148" t="s">
        <v>350</v>
      </c>
      <c r="D186" s="40">
        <v>42679128</v>
      </c>
      <c r="E186" s="86" t="s">
        <v>197</v>
      </c>
      <c r="F186" s="106">
        <f>+G186+H186+I186+J186+K186</f>
        <v>4716000</v>
      </c>
      <c r="G186" s="27"/>
      <c r="H186" s="27"/>
      <c r="I186" s="27">
        <v>4716000</v>
      </c>
      <c r="J186" s="27"/>
      <c r="K186" s="27"/>
      <c r="L186" s="106">
        <f>+M186+N186+O186+P186+Q186</f>
        <v>4716000</v>
      </c>
      <c r="M186" s="27"/>
      <c r="N186" s="27"/>
      <c r="O186" s="27">
        <v>4716000</v>
      </c>
      <c r="P186" s="27"/>
      <c r="Q186" s="27"/>
    </row>
    <row r="187" spans="1:17" s="38" customFormat="1" ht="19.5" customHeight="1">
      <c r="A187" s="20"/>
      <c r="B187" s="51"/>
      <c r="C187" s="148" t="s">
        <v>351</v>
      </c>
      <c r="D187" s="40">
        <v>42679101</v>
      </c>
      <c r="E187" s="86" t="s">
        <v>249</v>
      </c>
      <c r="F187" s="106">
        <f>+G187+H187+I187+J187+K187</f>
        <v>420000</v>
      </c>
      <c r="G187" s="27"/>
      <c r="H187" s="27"/>
      <c r="I187" s="27">
        <f>200000+170000</f>
        <v>370000</v>
      </c>
      <c r="J187" s="27"/>
      <c r="K187" s="27">
        <v>50000</v>
      </c>
      <c r="L187" s="106">
        <f>+M187+N187+O187+P187+Q187</f>
        <v>420000</v>
      </c>
      <c r="M187" s="27"/>
      <c r="N187" s="27"/>
      <c r="O187" s="27">
        <f>200000+170000</f>
        <v>370000</v>
      </c>
      <c r="P187" s="27"/>
      <c r="Q187" s="27">
        <v>50000</v>
      </c>
    </row>
    <row r="188" spans="1:17" s="38" customFormat="1" ht="24.75" customHeight="1">
      <c r="A188" s="20"/>
      <c r="B188" s="67"/>
      <c r="C188" s="9" t="s">
        <v>204</v>
      </c>
      <c r="D188" s="4">
        <v>426800</v>
      </c>
      <c r="E188" s="16" t="s">
        <v>330</v>
      </c>
      <c r="F188" s="78">
        <f aca="true" t="shared" si="20" ref="F188:F205">SUM(G188:K188)</f>
        <v>2172000</v>
      </c>
      <c r="G188" s="11"/>
      <c r="H188" s="11"/>
      <c r="I188" s="11">
        <f>+I189+I192+I190</f>
        <v>2100000</v>
      </c>
      <c r="J188" s="11"/>
      <c r="K188" s="11">
        <f>+K192+K190+K189</f>
        <v>72000</v>
      </c>
      <c r="L188" s="78">
        <f>SUM(M188:Q188)</f>
        <v>1449967</v>
      </c>
      <c r="M188" s="11"/>
      <c r="N188" s="11"/>
      <c r="O188" s="11">
        <f>+O189+O192+O190+O191</f>
        <v>1377967</v>
      </c>
      <c r="P188" s="11"/>
      <c r="Q188" s="11">
        <f>+Q192+Q190+Q189</f>
        <v>72000</v>
      </c>
    </row>
    <row r="189" spans="1:17" s="38" customFormat="1" ht="21" customHeight="1">
      <c r="A189" s="26"/>
      <c r="B189" s="34"/>
      <c r="C189" s="206" t="s">
        <v>206</v>
      </c>
      <c r="D189" s="200">
        <v>426811</v>
      </c>
      <c r="E189" s="201" t="s">
        <v>200</v>
      </c>
      <c r="F189" s="197">
        <f t="shared" si="20"/>
        <v>2000000</v>
      </c>
      <c r="G189" s="198"/>
      <c r="H189" s="198"/>
      <c r="I189" s="198">
        <v>2000000</v>
      </c>
      <c r="J189" s="198"/>
      <c r="K189" s="198"/>
      <c r="L189" s="197">
        <f>SUM(M189:Q189)</f>
        <v>1257967</v>
      </c>
      <c r="M189" s="198"/>
      <c r="N189" s="198"/>
      <c r="O189" s="198">
        <f>2000000-742033</f>
        <v>1257967</v>
      </c>
      <c r="P189" s="198"/>
      <c r="Q189" s="198"/>
    </row>
    <row r="190" spans="1:17" s="38" customFormat="1" ht="21" customHeight="1">
      <c r="A190" s="26"/>
      <c r="B190" s="25"/>
      <c r="C190" s="150" t="s">
        <v>207</v>
      </c>
      <c r="D190" s="40">
        <v>426812</v>
      </c>
      <c r="E190" s="151" t="s">
        <v>341</v>
      </c>
      <c r="F190" s="79">
        <f t="shared" si="20"/>
        <v>100000</v>
      </c>
      <c r="G190" s="27"/>
      <c r="H190" s="27"/>
      <c r="I190" s="27">
        <v>100000</v>
      </c>
      <c r="J190" s="27"/>
      <c r="K190" s="27"/>
      <c r="L190" s="79">
        <f>SUM(M190:Q190)</f>
        <v>100000</v>
      </c>
      <c r="M190" s="27"/>
      <c r="N190" s="27"/>
      <c r="O190" s="27">
        <v>100000</v>
      </c>
      <c r="P190" s="27"/>
      <c r="Q190" s="27"/>
    </row>
    <row r="191" spans="1:17" s="38" customFormat="1" ht="21" customHeight="1">
      <c r="A191" s="26"/>
      <c r="B191" s="25"/>
      <c r="C191" s="206" t="s">
        <v>209</v>
      </c>
      <c r="D191" s="200">
        <v>426819</v>
      </c>
      <c r="E191" s="203" t="s">
        <v>428</v>
      </c>
      <c r="F191" s="197"/>
      <c r="G191" s="198"/>
      <c r="H191" s="198"/>
      <c r="I191" s="198"/>
      <c r="J191" s="198"/>
      <c r="K191" s="198"/>
      <c r="L191" s="197">
        <f>SUM(M191:Q191)</f>
        <v>20000</v>
      </c>
      <c r="M191" s="198"/>
      <c r="N191" s="198"/>
      <c r="O191" s="198">
        <v>20000</v>
      </c>
      <c r="P191" s="198"/>
      <c r="Q191" s="198"/>
    </row>
    <row r="192" spans="1:17" s="38" customFormat="1" ht="21" customHeight="1">
      <c r="A192" s="26"/>
      <c r="B192" s="25"/>
      <c r="C192" s="150" t="s">
        <v>429</v>
      </c>
      <c r="D192" s="40">
        <v>4268292</v>
      </c>
      <c r="E192" s="86" t="s">
        <v>203</v>
      </c>
      <c r="F192" s="79">
        <f t="shared" si="20"/>
        <v>72000</v>
      </c>
      <c r="G192" s="27"/>
      <c r="H192" s="27"/>
      <c r="I192" s="27"/>
      <c r="J192" s="27"/>
      <c r="K192" s="27">
        <v>72000</v>
      </c>
      <c r="L192" s="79">
        <f aca="true" t="shared" si="21" ref="L192:L205">SUM(M192:Q192)</f>
        <v>72000</v>
      </c>
      <c r="M192" s="27"/>
      <c r="N192" s="27"/>
      <c r="O192" s="27"/>
      <c r="P192" s="27"/>
      <c r="Q192" s="27">
        <v>72000</v>
      </c>
    </row>
    <row r="193" spans="1:17" s="38" customFormat="1" ht="21" customHeight="1">
      <c r="A193" s="20"/>
      <c r="B193" s="32"/>
      <c r="C193" s="9" t="s">
        <v>352</v>
      </c>
      <c r="D193" s="4">
        <v>426900</v>
      </c>
      <c r="E193" s="16" t="s">
        <v>205</v>
      </c>
      <c r="F193" s="78">
        <f t="shared" si="20"/>
        <v>1137000</v>
      </c>
      <c r="G193" s="11"/>
      <c r="H193" s="11"/>
      <c r="I193" s="11">
        <f>SUM(I194:I205)</f>
        <v>1057000</v>
      </c>
      <c r="J193" s="11"/>
      <c r="K193" s="11">
        <f>+K196+K201</f>
        <v>80000</v>
      </c>
      <c r="L193" s="78">
        <f t="shared" si="21"/>
        <v>1137000</v>
      </c>
      <c r="M193" s="11"/>
      <c r="N193" s="11"/>
      <c r="O193" s="11">
        <f>SUM(O194:O205)</f>
        <v>1057000</v>
      </c>
      <c r="P193" s="11"/>
      <c r="Q193" s="11">
        <f>+Q196+Q201</f>
        <v>80000</v>
      </c>
    </row>
    <row r="194" spans="1:17" s="38" customFormat="1" ht="18.75" customHeight="1">
      <c r="A194" s="20"/>
      <c r="B194" s="68"/>
      <c r="C194" s="148" t="s">
        <v>353</v>
      </c>
      <c r="D194" s="40">
        <v>42691101</v>
      </c>
      <c r="E194" s="86" t="s">
        <v>212</v>
      </c>
      <c r="F194" s="79">
        <f t="shared" si="20"/>
        <v>250000</v>
      </c>
      <c r="G194" s="27"/>
      <c r="H194" s="27"/>
      <c r="I194" s="27">
        <v>250000</v>
      </c>
      <c r="J194" s="27"/>
      <c r="K194" s="27"/>
      <c r="L194" s="79">
        <f t="shared" si="21"/>
        <v>250000</v>
      </c>
      <c r="M194" s="27"/>
      <c r="N194" s="27"/>
      <c r="O194" s="27">
        <v>250000</v>
      </c>
      <c r="P194" s="27"/>
      <c r="Q194" s="27"/>
    </row>
    <row r="195" spans="1:17" s="38" customFormat="1" ht="18.75" customHeight="1">
      <c r="A195" s="20"/>
      <c r="B195" s="68"/>
      <c r="C195" s="148" t="s">
        <v>354</v>
      </c>
      <c r="D195" s="40">
        <v>42691102</v>
      </c>
      <c r="E195" s="86" t="s">
        <v>213</v>
      </c>
      <c r="F195" s="79">
        <f t="shared" si="20"/>
        <v>150000</v>
      </c>
      <c r="G195" s="27"/>
      <c r="H195" s="27"/>
      <c r="I195" s="27">
        <v>150000</v>
      </c>
      <c r="J195" s="27"/>
      <c r="K195" s="27"/>
      <c r="L195" s="79">
        <f t="shared" si="21"/>
        <v>150000</v>
      </c>
      <c r="M195" s="27"/>
      <c r="N195" s="27"/>
      <c r="O195" s="27">
        <v>150000</v>
      </c>
      <c r="P195" s="27"/>
      <c r="Q195" s="27"/>
    </row>
    <row r="196" spans="1:17" s="38" customFormat="1" ht="18.75" customHeight="1">
      <c r="A196" s="20"/>
      <c r="B196" s="68"/>
      <c r="C196" s="148" t="s">
        <v>355</v>
      </c>
      <c r="D196" s="40">
        <v>42691103</v>
      </c>
      <c r="E196" s="86" t="s">
        <v>214</v>
      </c>
      <c r="F196" s="79">
        <f t="shared" si="20"/>
        <v>150000</v>
      </c>
      <c r="G196" s="27"/>
      <c r="H196" s="27"/>
      <c r="I196" s="27">
        <v>100000</v>
      </c>
      <c r="J196" s="27"/>
      <c r="K196" s="27">
        <v>50000</v>
      </c>
      <c r="L196" s="79">
        <f t="shared" si="21"/>
        <v>150000</v>
      </c>
      <c r="M196" s="27"/>
      <c r="N196" s="27"/>
      <c r="O196" s="27">
        <v>100000</v>
      </c>
      <c r="P196" s="27"/>
      <c r="Q196" s="27">
        <v>50000</v>
      </c>
    </row>
    <row r="197" spans="1:17" s="38" customFormat="1" ht="18.75" customHeight="1">
      <c r="A197" s="20"/>
      <c r="B197" s="68"/>
      <c r="C197" s="148" t="s">
        <v>356</v>
      </c>
      <c r="D197" s="40">
        <v>42691104</v>
      </c>
      <c r="E197" s="86" t="s">
        <v>215</v>
      </c>
      <c r="F197" s="79">
        <f t="shared" si="20"/>
        <v>102000</v>
      </c>
      <c r="G197" s="27"/>
      <c r="H197" s="27"/>
      <c r="I197" s="27">
        <v>102000</v>
      </c>
      <c r="J197" s="27"/>
      <c r="K197" s="27"/>
      <c r="L197" s="79">
        <f t="shared" si="21"/>
        <v>102000</v>
      </c>
      <c r="M197" s="27"/>
      <c r="N197" s="27"/>
      <c r="O197" s="27">
        <v>102000</v>
      </c>
      <c r="P197" s="27"/>
      <c r="Q197" s="27"/>
    </row>
    <row r="198" spans="1:17" s="38" customFormat="1" ht="18.75" customHeight="1">
      <c r="A198" s="20"/>
      <c r="B198" s="68"/>
      <c r="C198" s="148" t="s">
        <v>357</v>
      </c>
      <c r="D198" s="40">
        <v>42691105</v>
      </c>
      <c r="E198" s="86" t="s">
        <v>216</v>
      </c>
      <c r="F198" s="79">
        <f t="shared" si="20"/>
        <v>90000</v>
      </c>
      <c r="G198" s="27"/>
      <c r="H198" s="27"/>
      <c r="I198" s="27">
        <v>90000</v>
      </c>
      <c r="J198" s="27"/>
      <c r="K198" s="27"/>
      <c r="L198" s="79">
        <f t="shared" si="21"/>
        <v>90000</v>
      </c>
      <c r="M198" s="27"/>
      <c r="N198" s="27"/>
      <c r="O198" s="27">
        <v>90000</v>
      </c>
      <c r="P198" s="27"/>
      <c r="Q198" s="27"/>
    </row>
    <row r="199" spans="1:17" s="38" customFormat="1" ht="18.75" customHeight="1">
      <c r="A199" s="20"/>
      <c r="B199" s="68"/>
      <c r="C199" s="148" t="s">
        <v>358</v>
      </c>
      <c r="D199" s="40">
        <v>42691106</v>
      </c>
      <c r="E199" s="151" t="s">
        <v>217</v>
      </c>
      <c r="F199" s="79">
        <f t="shared" si="20"/>
        <v>70000</v>
      </c>
      <c r="G199" s="27"/>
      <c r="H199" s="27"/>
      <c r="I199" s="27">
        <f>65000+5000</f>
        <v>70000</v>
      </c>
      <c r="J199" s="27"/>
      <c r="K199" s="27"/>
      <c r="L199" s="79">
        <f t="shared" si="21"/>
        <v>70000</v>
      </c>
      <c r="M199" s="27"/>
      <c r="N199" s="27"/>
      <c r="O199" s="27">
        <f>65000+5000</f>
        <v>70000</v>
      </c>
      <c r="P199" s="27"/>
      <c r="Q199" s="27"/>
    </row>
    <row r="200" spans="1:17" s="38" customFormat="1" ht="18.75" customHeight="1">
      <c r="A200" s="20"/>
      <c r="B200" s="68"/>
      <c r="C200" s="148" t="s">
        <v>359</v>
      </c>
      <c r="D200" s="40">
        <v>42691107</v>
      </c>
      <c r="E200" s="86" t="s">
        <v>252</v>
      </c>
      <c r="F200" s="79">
        <f t="shared" si="20"/>
        <v>35000</v>
      </c>
      <c r="G200" s="27"/>
      <c r="H200" s="27"/>
      <c r="I200" s="27">
        <f>40000-5000</f>
        <v>35000</v>
      </c>
      <c r="J200" s="27"/>
      <c r="K200" s="27"/>
      <c r="L200" s="79">
        <f t="shared" si="21"/>
        <v>35000</v>
      </c>
      <c r="M200" s="27"/>
      <c r="N200" s="27"/>
      <c r="O200" s="27">
        <f>40000-5000</f>
        <v>35000</v>
      </c>
      <c r="P200" s="27"/>
      <c r="Q200" s="27"/>
    </row>
    <row r="201" spans="1:17" s="38" customFormat="1" ht="18.75" customHeight="1">
      <c r="A201" s="20"/>
      <c r="B201" s="25"/>
      <c r="C201" s="148" t="s">
        <v>360</v>
      </c>
      <c r="D201" s="40">
        <v>426912</v>
      </c>
      <c r="E201" s="86" t="s">
        <v>208</v>
      </c>
      <c r="F201" s="79">
        <f t="shared" si="20"/>
        <v>74000</v>
      </c>
      <c r="G201" s="27"/>
      <c r="H201" s="27"/>
      <c r="I201" s="27">
        <f>80000-36000</f>
        <v>44000</v>
      </c>
      <c r="J201" s="27"/>
      <c r="K201" s="27">
        <v>30000</v>
      </c>
      <c r="L201" s="79">
        <f t="shared" si="21"/>
        <v>74000</v>
      </c>
      <c r="M201" s="27"/>
      <c r="N201" s="27"/>
      <c r="O201" s="27">
        <f>80000-36000</f>
        <v>44000</v>
      </c>
      <c r="P201" s="27"/>
      <c r="Q201" s="27">
        <v>30000</v>
      </c>
    </row>
    <row r="202" spans="1:17" s="38" customFormat="1" ht="18.75" customHeight="1">
      <c r="A202" s="20"/>
      <c r="B202" s="25"/>
      <c r="C202" s="148" t="s">
        <v>361</v>
      </c>
      <c r="D202" s="40">
        <v>4269121</v>
      </c>
      <c r="E202" s="86" t="s">
        <v>210</v>
      </c>
      <c r="F202" s="79">
        <f t="shared" si="20"/>
        <v>42000</v>
      </c>
      <c r="G202" s="27"/>
      <c r="H202" s="27"/>
      <c r="I202" s="27">
        <v>42000</v>
      </c>
      <c r="J202" s="27"/>
      <c r="K202" s="27"/>
      <c r="L202" s="79">
        <f t="shared" si="21"/>
        <v>42000</v>
      </c>
      <c r="M202" s="27"/>
      <c r="N202" s="27"/>
      <c r="O202" s="27">
        <v>42000</v>
      </c>
      <c r="P202" s="27"/>
      <c r="Q202" s="27"/>
    </row>
    <row r="203" spans="1:17" s="38" customFormat="1" ht="18.75" customHeight="1">
      <c r="A203" s="20"/>
      <c r="B203" s="25"/>
      <c r="C203" s="148" t="s">
        <v>362</v>
      </c>
      <c r="D203" s="40">
        <v>4269122</v>
      </c>
      <c r="E203" s="86" t="s">
        <v>211</v>
      </c>
      <c r="F203" s="79">
        <f t="shared" si="20"/>
        <v>100000</v>
      </c>
      <c r="G203" s="27"/>
      <c r="H203" s="27"/>
      <c r="I203" s="27">
        <v>100000</v>
      </c>
      <c r="J203" s="27"/>
      <c r="K203" s="27"/>
      <c r="L203" s="79">
        <f t="shared" si="21"/>
        <v>100000</v>
      </c>
      <c r="M203" s="27"/>
      <c r="N203" s="27"/>
      <c r="O203" s="27">
        <v>100000</v>
      </c>
      <c r="P203" s="27"/>
      <c r="Q203" s="27"/>
    </row>
    <row r="204" spans="1:17" s="38" customFormat="1" ht="18.75" customHeight="1">
      <c r="A204" s="20"/>
      <c r="B204" s="25"/>
      <c r="C204" s="148" t="s">
        <v>363</v>
      </c>
      <c r="D204" s="40">
        <v>426913</v>
      </c>
      <c r="E204" s="86" t="s">
        <v>257</v>
      </c>
      <c r="F204" s="79">
        <f t="shared" si="20"/>
        <v>50000</v>
      </c>
      <c r="G204" s="27"/>
      <c r="H204" s="27"/>
      <c r="I204" s="27">
        <v>50000</v>
      </c>
      <c r="J204" s="27"/>
      <c r="K204" s="27"/>
      <c r="L204" s="79">
        <f t="shared" si="21"/>
        <v>50000</v>
      </c>
      <c r="M204" s="27"/>
      <c r="N204" s="27"/>
      <c r="O204" s="27">
        <v>50000</v>
      </c>
      <c r="P204" s="27"/>
      <c r="Q204" s="27"/>
    </row>
    <row r="205" spans="1:17" s="38" customFormat="1" ht="18.75" customHeight="1" thickBot="1">
      <c r="A205" s="20"/>
      <c r="B205" s="25"/>
      <c r="C205" s="177" t="s">
        <v>364</v>
      </c>
      <c r="D205" s="41">
        <v>426914</v>
      </c>
      <c r="E205" s="90" t="s">
        <v>271</v>
      </c>
      <c r="F205" s="116">
        <f t="shared" si="20"/>
        <v>24000</v>
      </c>
      <c r="G205" s="118"/>
      <c r="H205" s="118"/>
      <c r="I205" s="118">
        <v>24000</v>
      </c>
      <c r="J205" s="118"/>
      <c r="K205" s="118"/>
      <c r="L205" s="116">
        <f t="shared" si="21"/>
        <v>24000</v>
      </c>
      <c r="M205" s="118"/>
      <c r="N205" s="118"/>
      <c r="O205" s="118">
        <v>24000</v>
      </c>
      <c r="P205" s="118"/>
      <c r="Q205" s="118"/>
    </row>
    <row r="206" spans="1:17" s="38" customFormat="1" ht="23.25" customHeight="1" thickBot="1" thickTop="1">
      <c r="A206" s="180" t="s">
        <v>26</v>
      </c>
      <c r="B206" s="137">
        <v>440000</v>
      </c>
      <c r="C206" s="178"/>
      <c r="D206" s="268" t="s">
        <v>218</v>
      </c>
      <c r="E206" s="313"/>
      <c r="F206" s="179">
        <f>+G206+H206+I206+J206+K206</f>
        <v>50000</v>
      </c>
      <c r="G206" s="141"/>
      <c r="H206" s="141"/>
      <c r="I206" s="141"/>
      <c r="J206" s="141"/>
      <c r="K206" s="141">
        <f>+K207</f>
        <v>50000</v>
      </c>
      <c r="L206" s="179">
        <f>+M206+N206+O206+P206+Q206</f>
        <v>50000</v>
      </c>
      <c r="M206" s="141"/>
      <c r="N206" s="141"/>
      <c r="O206" s="141"/>
      <c r="P206" s="141"/>
      <c r="Q206" s="141">
        <f>+Q207</f>
        <v>50000</v>
      </c>
    </row>
    <row r="207" spans="1:17" s="38" customFormat="1" ht="20.25" customHeight="1" thickBot="1" thickTop="1">
      <c r="A207" s="190"/>
      <c r="B207" s="51"/>
      <c r="C207" s="121"/>
      <c r="D207" s="95">
        <v>444211</v>
      </c>
      <c r="E207" s="122" t="s">
        <v>219</v>
      </c>
      <c r="F207" s="123">
        <f>+K207</f>
        <v>50000</v>
      </c>
      <c r="G207" s="124"/>
      <c r="H207" s="124"/>
      <c r="I207" s="124"/>
      <c r="J207" s="124"/>
      <c r="K207" s="124">
        <v>50000</v>
      </c>
      <c r="L207" s="123">
        <f>+Q207</f>
        <v>50000</v>
      </c>
      <c r="M207" s="124"/>
      <c r="N207" s="124"/>
      <c r="O207" s="124"/>
      <c r="P207" s="124"/>
      <c r="Q207" s="124">
        <v>50000</v>
      </c>
    </row>
    <row r="208" spans="1:17" s="38" customFormat="1" ht="20.25" customHeight="1" thickBot="1" thickTop="1">
      <c r="A208" s="216" t="s">
        <v>225</v>
      </c>
      <c r="B208" s="137">
        <v>465000</v>
      </c>
      <c r="C208" s="178"/>
      <c r="D208" s="268" t="s">
        <v>389</v>
      </c>
      <c r="E208" s="313"/>
      <c r="F208" s="179">
        <f>+G208+H208+I208+J208+K208</f>
        <v>3910359</v>
      </c>
      <c r="G208" s="141"/>
      <c r="H208" s="141"/>
      <c r="I208" s="141">
        <f>+I209</f>
        <v>3532359</v>
      </c>
      <c r="J208" s="141"/>
      <c r="K208" s="141">
        <f>+K209</f>
        <v>378000</v>
      </c>
      <c r="L208" s="179">
        <f>+M208+N208+O208+P208+Q208</f>
        <v>3910359</v>
      </c>
      <c r="M208" s="141"/>
      <c r="N208" s="141"/>
      <c r="O208" s="141">
        <f>+O209</f>
        <v>3532359</v>
      </c>
      <c r="P208" s="141"/>
      <c r="Q208" s="141">
        <f>+Q209</f>
        <v>378000</v>
      </c>
    </row>
    <row r="209" spans="1:17" s="38" customFormat="1" ht="20.25" customHeight="1" thickBot="1" thickTop="1">
      <c r="A209" s="20"/>
      <c r="B209" s="51"/>
      <c r="C209" s="182" t="s">
        <v>409</v>
      </c>
      <c r="D209" s="95">
        <v>465112</v>
      </c>
      <c r="E209" s="191" t="s">
        <v>390</v>
      </c>
      <c r="F209" s="123">
        <f>+K209+I209</f>
        <v>3910359</v>
      </c>
      <c r="G209" s="124"/>
      <c r="H209" s="124"/>
      <c r="I209" s="124">
        <f>1694560+66788+1771011</f>
        <v>3532359</v>
      </c>
      <c r="J209" s="124"/>
      <c r="K209" s="124">
        <f>189000*2</f>
        <v>378000</v>
      </c>
      <c r="L209" s="123">
        <f>+Q209+O209</f>
        <v>3910359</v>
      </c>
      <c r="M209" s="124"/>
      <c r="N209" s="124"/>
      <c r="O209" s="124">
        <f>1694560+66788+1771011</f>
        <v>3532359</v>
      </c>
      <c r="P209" s="124"/>
      <c r="Q209" s="124">
        <f>189000*2</f>
        <v>378000</v>
      </c>
    </row>
    <row r="210" spans="1:17" s="38" customFormat="1" ht="20.25" customHeight="1" thickBot="1" thickTop="1">
      <c r="A210" s="180" t="s">
        <v>235</v>
      </c>
      <c r="B210" s="137">
        <v>481900</v>
      </c>
      <c r="C210" s="143"/>
      <c r="D210" s="268" t="s">
        <v>406</v>
      </c>
      <c r="E210" s="313"/>
      <c r="F210" s="179">
        <f>+I210</f>
        <v>261000</v>
      </c>
      <c r="G210" s="141"/>
      <c r="H210" s="141"/>
      <c r="I210" s="141">
        <f>+I211</f>
        <v>261000</v>
      </c>
      <c r="J210" s="194"/>
      <c r="K210" s="194"/>
      <c r="L210" s="179">
        <f>+O210+Q210</f>
        <v>245000</v>
      </c>
      <c r="M210" s="141"/>
      <c r="N210" s="141"/>
      <c r="O210" s="141">
        <f>+O211</f>
        <v>135000</v>
      </c>
      <c r="P210" s="194"/>
      <c r="Q210" s="194">
        <f>+Q211</f>
        <v>110000</v>
      </c>
    </row>
    <row r="211" spans="1:17" s="38" customFormat="1" ht="20.25" customHeight="1" thickBot="1" thickTop="1">
      <c r="A211" s="20"/>
      <c r="B211" s="51"/>
      <c r="C211" s="247" t="s">
        <v>365</v>
      </c>
      <c r="D211" s="248">
        <v>481991</v>
      </c>
      <c r="E211" s="249" t="s">
        <v>407</v>
      </c>
      <c r="F211" s="232">
        <f>+I211</f>
        <v>261000</v>
      </c>
      <c r="G211" s="230"/>
      <c r="H211" s="230"/>
      <c r="I211" s="230">
        <f>87000/4*12</f>
        <v>261000</v>
      </c>
      <c r="J211" s="230"/>
      <c r="K211" s="230"/>
      <c r="L211" s="232">
        <f>+O211+Q211</f>
        <v>245000</v>
      </c>
      <c r="M211" s="230"/>
      <c r="N211" s="230"/>
      <c r="O211" s="230">
        <v>135000</v>
      </c>
      <c r="P211" s="230"/>
      <c r="Q211" s="230">
        <v>110000</v>
      </c>
    </row>
    <row r="212" spans="1:17" s="38" customFormat="1" ht="21" customHeight="1" thickBot="1" thickTop="1">
      <c r="A212" s="130" t="s">
        <v>333</v>
      </c>
      <c r="B212" s="137">
        <v>482000</v>
      </c>
      <c r="C212" s="178"/>
      <c r="D212" s="268" t="s">
        <v>220</v>
      </c>
      <c r="E212" s="313"/>
      <c r="F212" s="141">
        <f>SUM(G212:K212)</f>
        <v>1344374</v>
      </c>
      <c r="G212" s="141"/>
      <c r="H212" s="141"/>
      <c r="I212" s="141">
        <f>+I213+I215</f>
        <v>132000</v>
      </c>
      <c r="J212" s="141">
        <f>+J214</f>
        <v>1147374</v>
      </c>
      <c r="K212" s="141">
        <f>+K213+K215+K216+K214</f>
        <v>65000</v>
      </c>
      <c r="L212" s="141">
        <f>SUM(M212:Q212)</f>
        <v>817382</v>
      </c>
      <c r="M212" s="141"/>
      <c r="N212" s="141"/>
      <c r="O212" s="141">
        <f>+O213+O215</f>
        <v>132000</v>
      </c>
      <c r="P212" s="141">
        <f>+P214</f>
        <v>620382</v>
      </c>
      <c r="Q212" s="141">
        <f>+Q213+Q215+Q216+Q214</f>
        <v>65000</v>
      </c>
    </row>
    <row r="213" spans="1:17" s="38" customFormat="1" ht="19.5" customHeight="1" thickTop="1">
      <c r="A213" s="13"/>
      <c r="B213" s="50"/>
      <c r="C213" s="181" t="s">
        <v>366</v>
      </c>
      <c r="D213" s="42">
        <v>482131</v>
      </c>
      <c r="E213" s="91" t="s">
        <v>221</v>
      </c>
      <c r="F213" s="119">
        <f aca="true" t="shared" si="22" ref="F213:F228">+G213+H213+I213+J213+K213</f>
        <v>132000</v>
      </c>
      <c r="G213" s="120"/>
      <c r="H213" s="120"/>
      <c r="I213" s="120">
        <v>132000</v>
      </c>
      <c r="J213" s="120"/>
      <c r="K213" s="120"/>
      <c r="L213" s="119">
        <f aca="true" t="shared" si="23" ref="L213:L230">+M213+N213+O213+P213+Q213</f>
        <v>132000</v>
      </c>
      <c r="M213" s="120"/>
      <c r="N213" s="120"/>
      <c r="O213" s="120">
        <v>132000</v>
      </c>
      <c r="P213" s="120"/>
      <c r="Q213" s="120"/>
    </row>
    <row r="214" spans="1:17" s="38" customFormat="1" ht="19.5" customHeight="1">
      <c r="A214" s="13"/>
      <c r="B214" s="50"/>
      <c r="C214" s="207" t="s">
        <v>367</v>
      </c>
      <c r="D214" s="208">
        <v>4821912</v>
      </c>
      <c r="E214" s="250" t="s">
        <v>335</v>
      </c>
      <c r="F214" s="209">
        <f t="shared" si="22"/>
        <v>1147374</v>
      </c>
      <c r="G214" s="210"/>
      <c r="H214" s="210"/>
      <c r="I214" s="210"/>
      <c r="J214" s="210">
        <v>1147374</v>
      </c>
      <c r="K214" s="210"/>
      <c r="L214" s="209">
        <f t="shared" si="23"/>
        <v>620382</v>
      </c>
      <c r="M214" s="210"/>
      <c r="N214" s="210"/>
      <c r="O214" s="210"/>
      <c r="P214" s="210">
        <v>620382</v>
      </c>
      <c r="Q214" s="210"/>
    </row>
    <row r="215" spans="1:17" s="38" customFormat="1" ht="19.5" customHeight="1">
      <c r="A215" s="8"/>
      <c r="B215" s="9"/>
      <c r="C215" s="181" t="s">
        <v>368</v>
      </c>
      <c r="D215" s="40">
        <v>482211</v>
      </c>
      <c r="E215" s="86" t="s">
        <v>222</v>
      </c>
      <c r="F215" s="79">
        <f t="shared" si="22"/>
        <v>40000</v>
      </c>
      <c r="G215" s="27"/>
      <c r="H215" s="27"/>
      <c r="I215" s="27"/>
      <c r="J215" s="27"/>
      <c r="K215" s="27">
        <v>40000</v>
      </c>
      <c r="L215" s="79">
        <f t="shared" si="23"/>
        <v>40000</v>
      </c>
      <c r="M215" s="27"/>
      <c r="N215" s="27"/>
      <c r="O215" s="27"/>
      <c r="P215" s="27"/>
      <c r="Q215" s="27">
        <v>40000</v>
      </c>
    </row>
    <row r="216" spans="1:17" s="38" customFormat="1" ht="19.5" customHeight="1" thickBot="1">
      <c r="A216" s="8"/>
      <c r="B216" s="9"/>
      <c r="C216" s="181" t="s">
        <v>369</v>
      </c>
      <c r="D216" s="40">
        <v>482251</v>
      </c>
      <c r="E216" s="86" t="s">
        <v>223</v>
      </c>
      <c r="F216" s="79">
        <f t="shared" si="22"/>
        <v>25000</v>
      </c>
      <c r="G216" s="27"/>
      <c r="H216" s="27"/>
      <c r="I216" s="27"/>
      <c r="J216" s="27"/>
      <c r="K216" s="27">
        <v>25000</v>
      </c>
      <c r="L216" s="79">
        <f t="shared" si="23"/>
        <v>25000</v>
      </c>
      <c r="M216" s="27"/>
      <c r="N216" s="27"/>
      <c r="O216" s="27"/>
      <c r="P216" s="27"/>
      <c r="Q216" s="27">
        <v>25000</v>
      </c>
    </row>
    <row r="217" spans="1:17" s="38" customFormat="1" ht="25.5" customHeight="1" thickBot="1" thickTop="1">
      <c r="A217" s="130" t="s">
        <v>410</v>
      </c>
      <c r="B217" s="137">
        <v>483000</v>
      </c>
      <c r="C217" s="178"/>
      <c r="D217" s="308" t="s">
        <v>224</v>
      </c>
      <c r="E217" s="314"/>
      <c r="F217" s="179">
        <f t="shared" si="22"/>
        <v>1000000</v>
      </c>
      <c r="G217" s="141"/>
      <c r="H217" s="141"/>
      <c r="I217" s="141"/>
      <c r="J217" s="141"/>
      <c r="K217" s="141">
        <f>+K218</f>
        <v>1000000</v>
      </c>
      <c r="L217" s="179">
        <f t="shared" si="23"/>
        <v>0</v>
      </c>
      <c r="M217" s="141"/>
      <c r="N217" s="141"/>
      <c r="O217" s="141"/>
      <c r="P217" s="141"/>
      <c r="Q217" s="141">
        <f>+Q218</f>
        <v>0</v>
      </c>
    </row>
    <row r="218" spans="1:17" s="38" customFormat="1" ht="24" customHeight="1" thickBot="1" thickTop="1">
      <c r="A218" s="48"/>
      <c r="B218" s="51"/>
      <c r="C218" s="247" t="s">
        <v>411</v>
      </c>
      <c r="D218" s="251">
        <v>483111</v>
      </c>
      <c r="E218" s="252" t="s">
        <v>236</v>
      </c>
      <c r="F218" s="232">
        <f t="shared" si="22"/>
        <v>1000000</v>
      </c>
      <c r="G218" s="230"/>
      <c r="H218" s="230"/>
      <c r="I218" s="230"/>
      <c r="J218" s="230"/>
      <c r="K218" s="230">
        <v>1000000</v>
      </c>
      <c r="L218" s="232">
        <f t="shared" si="23"/>
        <v>0</v>
      </c>
      <c r="M218" s="230"/>
      <c r="N218" s="230"/>
      <c r="O218" s="230"/>
      <c r="P218" s="230"/>
      <c r="Q218" s="230"/>
    </row>
    <row r="219" spans="1:17" s="38" customFormat="1" ht="20.25" customHeight="1" thickBot="1" thickTop="1">
      <c r="A219" s="187" t="s">
        <v>412</v>
      </c>
      <c r="B219" s="188" t="s">
        <v>226</v>
      </c>
      <c r="C219" s="189" t="s">
        <v>413</v>
      </c>
      <c r="D219" s="308" t="s">
        <v>227</v>
      </c>
      <c r="E219" s="309"/>
      <c r="F219" s="179">
        <f t="shared" si="22"/>
        <v>12206836</v>
      </c>
      <c r="G219" s="179"/>
      <c r="H219" s="179">
        <f>+H221+H222+H224+H227+H228+H225+H226+H223+H220+H230</f>
        <v>10361000</v>
      </c>
      <c r="I219" s="179"/>
      <c r="J219" s="179"/>
      <c r="K219" s="179">
        <f>K226+K222+K224+K221+K227+K223+K225+K228+K230+K229</f>
        <v>1845836</v>
      </c>
      <c r="L219" s="179">
        <f t="shared" si="23"/>
        <v>13392836</v>
      </c>
      <c r="M219" s="179"/>
      <c r="N219" s="179">
        <f>+N221+N222+N224+N227+N228+N225+N226+N223+N220+N230+N229</f>
        <v>11441000</v>
      </c>
      <c r="O219" s="179"/>
      <c r="P219" s="179"/>
      <c r="Q219" s="179">
        <f>Q226+Q222+Q224+Q221+Q227+Q223+Q225+Q228+Q230+Q229</f>
        <v>1951836</v>
      </c>
    </row>
    <row r="220" spans="1:17" s="165" customFormat="1" ht="20.25" customHeight="1" thickTop="1">
      <c r="A220" s="217"/>
      <c r="B220" s="181"/>
      <c r="C220" s="211" t="s">
        <v>414</v>
      </c>
      <c r="D220" s="253">
        <v>511222</v>
      </c>
      <c r="E220" s="254" t="s">
        <v>423</v>
      </c>
      <c r="F220" s="209">
        <f t="shared" si="22"/>
        <v>1800000</v>
      </c>
      <c r="G220" s="231"/>
      <c r="H220" s="231">
        <v>1800000</v>
      </c>
      <c r="I220" s="231"/>
      <c r="J220" s="231"/>
      <c r="K220" s="231"/>
      <c r="L220" s="209">
        <f t="shared" si="23"/>
        <v>0</v>
      </c>
      <c r="M220" s="231"/>
      <c r="N220" s="231">
        <v>0</v>
      </c>
      <c r="O220" s="231"/>
      <c r="P220" s="231"/>
      <c r="Q220" s="231"/>
    </row>
    <row r="221" spans="1:17" s="38" customFormat="1" ht="18" customHeight="1">
      <c r="A221" s="13"/>
      <c r="B221" s="50"/>
      <c r="C221" s="211" t="s">
        <v>415</v>
      </c>
      <c r="D221" s="208">
        <v>511322</v>
      </c>
      <c r="E221" s="255" t="s">
        <v>267</v>
      </c>
      <c r="F221" s="209">
        <f t="shared" si="22"/>
        <v>2000000</v>
      </c>
      <c r="G221" s="209"/>
      <c r="H221" s="209">
        <v>2000000</v>
      </c>
      <c r="I221" s="209"/>
      <c r="J221" s="209"/>
      <c r="K221" s="209"/>
      <c r="L221" s="209">
        <f t="shared" si="23"/>
        <v>3897000</v>
      </c>
      <c r="M221" s="209"/>
      <c r="N221" s="209">
        <f>2000000+1800000</f>
        <v>3800000</v>
      </c>
      <c r="O221" s="209"/>
      <c r="P221" s="209"/>
      <c r="Q221" s="209">
        <v>97000</v>
      </c>
    </row>
    <row r="222" spans="1:17" s="38" customFormat="1" ht="18" customHeight="1">
      <c r="A222" s="8"/>
      <c r="B222" s="9"/>
      <c r="C222" s="211" t="s">
        <v>416</v>
      </c>
      <c r="D222" s="200">
        <v>512211</v>
      </c>
      <c r="E222" s="256" t="s">
        <v>145</v>
      </c>
      <c r="F222" s="197">
        <f t="shared" si="22"/>
        <v>600000</v>
      </c>
      <c r="G222" s="197"/>
      <c r="H222" s="197">
        <v>600000</v>
      </c>
      <c r="I222" s="197"/>
      <c r="J222" s="197"/>
      <c r="K222" s="197"/>
      <c r="L222" s="197">
        <f t="shared" si="23"/>
        <v>1680000</v>
      </c>
      <c r="M222" s="197"/>
      <c r="N222" s="197">
        <f>600000+1080000</f>
        <v>1680000</v>
      </c>
      <c r="O222" s="197"/>
      <c r="P222" s="197"/>
      <c r="Q222" s="197"/>
    </row>
    <row r="223" spans="1:17" s="38" customFormat="1" ht="18" customHeight="1">
      <c r="A223" s="8"/>
      <c r="B223" s="9"/>
      <c r="C223" s="183" t="s">
        <v>417</v>
      </c>
      <c r="D223" s="40">
        <v>512212</v>
      </c>
      <c r="E223" s="184" t="s">
        <v>273</v>
      </c>
      <c r="F223" s="79">
        <f t="shared" si="22"/>
        <v>250000</v>
      </c>
      <c r="G223" s="79"/>
      <c r="H223" s="79">
        <v>250000</v>
      </c>
      <c r="I223" s="79"/>
      <c r="J223" s="79"/>
      <c r="K223" s="79"/>
      <c r="L223" s="79">
        <f t="shared" si="23"/>
        <v>250000</v>
      </c>
      <c r="M223" s="79"/>
      <c r="N223" s="79">
        <v>250000</v>
      </c>
      <c r="O223" s="79"/>
      <c r="P223" s="79"/>
      <c r="Q223" s="79"/>
    </row>
    <row r="224" spans="1:17" s="38" customFormat="1" ht="18" customHeight="1">
      <c r="A224" s="8"/>
      <c r="B224" s="9"/>
      <c r="C224" s="183" t="s">
        <v>418</v>
      </c>
      <c r="D224" s="40">
        <v>512221</v>
      </c>
      <c r="E224" s="86" t="s">
        <v>147</v>
      </c>
      <c r="F224" s="79">
        <f t="shared" si="22"/>
        <v>2005836</v>
      </c>
      <c r="G224" s="79"/>
      <c r="H224" s="79">
        <v>1080000</v>
      </c>
      <c r="I224" s="79"/>
      <c r="J224" s="79"/>
      <c r="K224" s="79">
        <v>925836</v>
      </c>
      <c r="L224" s="79">
        <f t="shared" si="23"/>
        <v>2005836</v>
      </c>
      <c r="M224" s="79"/>
      <c r="N224" s="79">
        <v>1080000</v>
      </c>
      <c r="O224" s="79"/>
      <c r="P224" s="79"/>
      <c r="Q224" s="79">
        <v>925836</v>
      </c>
    </row>
    <row r="225" spans="1:17" s="38" customFormat="1" ht="18" customHeight="1">
      <c r="A225" s="8"/>
      <c r="B225" s="9"/>
      <c r="C225" s="183" t="s">
        <v>419</v>
      </c>
      <c r="D225" s="40">
        <v>512232</v>
      </c>
      <c r="E225" s="151" t="s">
        <v>370</v>
      </c>
      <c r="F225" s="79">
        <f t="shared" si="22"/>
        <v>20000</v>
      </c>
      <c r="G225" s="79"/>
      <c r="H225" s="79">
        <v>20000</v>
      </c>
      <c r="I225" s="79"/>
      <c r="J225" s="79"/>
      <c r="K225" s="79"/>
      <c r="L225" s="79">
        <f t="shared" si="23"/>
        <v>20000</v>
      </c>
      <c r="M225" s="79"/>
      <c r="N225" s="79">
        <v>20000</v>
      </c>
      <c r="O225" s="79"/>
      <c r="P225" s="79"/>
      <c r="Q225" s="79"/>
    </row>
    <row r="226" spans="1:17" s="38" customFormat="1" ht="18" customHeight="1">
      <c r="A226" s="8"/>
      <c r="B226" s="9"/>
      <c r="C226" s="183" t="s">
        <v>420</v>
      </c>
      <c r="D226" s="40">
        <v>512251</v>
      </c>
      <c r="E226" s="151" t="s">
        <v>380</v>
      </c>
      <c r="F226" s="79">
        <f t="shared" si="22"/>
        <v>250000</v>
      </c>
      <c r="G226" s="79"/>
      <c r="H226" s="79">
        <v>250000</v>
      </c>
      <c r="I226" s="79"/>
      <c r="J226" s="79"/>
      <c r="K226" s="79"/>
      <c r="L226" s="79">
        <f t="shared" si="23"/>
        <v>250000</v>
      </c>
      <c r="M226" s="79"/>
      <c r="N226" s="79">
        <v>250000</v>
      </c>
      <c r="O226" s="79"/>
      <c r="P226" s="79"/>
      <c r="Q226" s="79"/>
    </row>
    <row r="227" spans="1:17" s="38" customFormat="1" ht="18" customHeight="1">
      <c r="A227" s="8"/>
      <c r="B227" s="9"/>
      <c r="C227" s="183" t="s">
        <v>421</v>
      </c>
      <c r="D227" s="37">
        <v>512511</v>
      </c>
      <c r="E227" s="86" t="s">
        <v>229</v>
      </c>
      <c r="F227" s="79">
        <f t="shared" si="22"/>
        <v>4581000</v>
      </c>
      <c r="G227" s="79"/>
      <c r="H227" s="79">
        <f>3800000+361000</f>
        <v>4161000</v>
      </c>
      <c r="I227" s="79"/>
      <c r="J227" s="79"/>
      <c r="K227" s="79">
        <v>420000</v>
      </c>
      <c r="L227" s="79">
        <f t="shared" si="23"/>
        <v>4581000</v>
      </c>
      <c r="M227" s="79"/>
      <c r="N227" s="79">
        <f>3800000+361000</f>
        <v>4161000</v>
      </c>
      <c r="O227" s="79"/>
      <c r="P227" s="79"/>
      <c r="Q227" s="79">
        <v>420000</v>
      </c>
    </row>
    <row r="228" spans="1:17" s="38" customFormat="1" ht="18" customHeight="1">
      <c r="A228" s="8"/>
      <c r="B228" s="9"/>
      <c r="C228" s="183" t="s">
        <v>422</v>
      </c>
      <c r="D228" s="152">
        <v>512531</v>
      </c>
      <c r="E228" s="166" t="s">
        <v>248</v>
      </c>
      <c r="F228" s="79">
        <f t="shared" si="22"/>
        <v>200000</v>
      </c>
      <c r="G228" s="79"/>
      <c r="H228" s="79">
        <v>200000</v>
      </c>
      <c r="I228" s="79"/>
      <c r="J228" s="79"/>
      <c r="K228" s="79"/>
      <c r="L228" s="79">
        <f t="shared" si="23"/>
        <v>200000</v>
      </c>
      <c r="M228" s="79"/>
      <c r="N228" s="79">
        <v>200000</v>
      </c>
      <c r="O228" s="79"/>
      <c r="P228" s="79"/>
      <c r="Q228" s="79"/>
    </row>
    <row r="229" spans="1:17" s="38" customFormat="1" ht="18" customHeight="1">
      <c r="A229" s="8"/>
      <c r="B229" s="9"/>
      <c r="C229" s="183" t="s">
        <v>425</v>
      </c>
      <c r="D229" s="152">
        <v>512241</v>
      </c>
      <c r="E229" s="184" t="s">
        <v>274</v>
      </c>
      <c r="F229" s="79">
        <f>+G229+H229+I229+J229+K229</f>
        <v>500000</v>
      </c>
      <c r="G229" s="79"/>
      <c r="H229" s="79"/>
      <c r="I229" s="79"/>
      <c r="J229" s="79"/>
      <c r="K229" s="79">
        <v>500000</v>
      </c>
      <c r="L229" s="79">
        <f>+M229+N229+O229+P229+Q229</f>
        <v>500000</v>
      </c>
      <c r="M229" s="79"/>
      <c r="N229" s="79"/>
      <c r="O229" s="79"/>
      <c r="P229" s="79"/>
      <c r="Q229" s="79">
        <v>500000</v>
      </c>
    </row>
    <row r="230" spans="1:17" s="38" customFormat="1" ht="18" customHeight="1">
      <c r="A230" s="8"/>
      <c r="B230" s="9"/>
      <c r="C230" s="211" t="s">
        <v>433</v>
      </c>
      <c r="D230" s="234">
        <v>512411</v>
      </c>
      <c r="E230" s="245" t="s">
        <v>276</v>
      </c>
      <c r="F230" s="197"/>
      <c r="G230" s="197"/>
      <c r="H230" s="197"/>
      <c r="I230" s="197"/>
      <c r="J230" s="197"/>
      <c r="K230" s="197"/>
      <c r="L230" s="197">
        <f t="shared" si="23"/>
        <v>9000</v>
      </c>
      <c r="M230" s="197"/>
      <c r="N230" s="197"/>
      <c r="O230" s="197"/>
      <c r="P230" s="197"/>
      <c r="Q230" s="197">
        <v>9000</v>
      </c>
    </row>
    <row r="231" spans="1:17" s="63" customFormat="1" ht="24.75" customHeight="1">
      <c r="A231" s="310" t="s">
        <v>424</v>
      </c>
      <c r="B231" s="311"/>
      <c r="C231" s="311"/>
      <c r="D231" s="311"/>
      <c r="E231" s="312"/>
      <c r="F231" s="78">
        <f>+F219+F217+F206+F212+F60+F35+F208+F210</f>
        <v>606774922.4399999</v>
      </c>
      <c r="G231" s="78"/>
      <c r="H231" s="78">
        <f>+H219+H217+H206+H212+H60+H35</f>
        <v>19572225.83</v>
      </c>
      <c r="I231" s="78">
        <f>+I219+I217+I206+I212+I60+I35+I208+I210</f>
        <v>559710696.77</v>
      </c>
      <c r="J231" s="78">
        <f>+J219+J217+J206+J212+J60+J35</f>
        <v>3184000</v>
      </c>
      <c r="K231" s="78">
        <f>+K219+K217+K206+K212+K60+K35+K208</f>
        <v>24307999.84</v>
      </c>
      <c r="L231" s="78">
        <f>+L219+L217+L206+L212+L60+L35+L208+L210</f>
        <v>598606183.4399999</v>
      </c>
      <c r="M231" s="78"/>
      <c r="N231" s="78">
        <f>+N219+N217+N206+N212+N60+N35</f>
        <v>20652225.83</v>
      </c>
      <c r="O231" s="78">
        <f>+O219+O217+O206+O212+O60+O35+O208+O210</f>
        <v>548689697.77</v>
      </c>
      <c r="P231" s="78">
        <f>+P219+P217+P206+P212+P60+P35</f>
        <v>3184000</v>
      </c>
      <c r="Q231" s="78">
        <f>+Q219+Q217+Q206+Q212+Q60+Q35+Q208+Q210</f>
        <v>26080259.84</v>
      </c>
    </row>
    <row r="232" spans="1:17" s="63" customFormat="1" ht="15.75" customHeight="1">
      <c r="A232" s="218"/>
      <c r="B232" s="218"/>
      <c r="C232" s="218"/>
      <c r="D232" s="218"/>
      <c r="E232" s="218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</row>
    <row r="233" spans="1:17" s="63" customFormat="1" ht="24.75" customHeight="1" hidden="1">
      <c r="A233" s="218"/>
      <c r="B233" s="218"/>
      <c r="C233" s="218"/>
      <c r="D233" s="218"/>
      <c r="E233" s="218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</row>
    <row r="234" spans="1:17" s="63" customFormat="1" ht="13.5" customHeight="1">
      <c r="A234" s="218"/>
      <c r="B234" s="218"/>
      <c r="C234" s="218"/>
      <c r="D234" s="218"/>
      <c r="E234" s="218"/>
      <c r="F234" s="163"/>
      <c r="G234" s="163"/>
      <c r="H234" s="163"/>
      <c r="I234" s="163"/>
      <c r="J234" s="163"/>
      <c r="K234" s="163"/>
      <c r="L234" s="163"/>
      <c r="M234" s="163"/>
      <c r="N234" s="163"/>
      <c r="O234" s="164"/>
      <c r="P234" s="163"/>
      <c r="Q234" s="163"/>
    </row>
    <row r="235" spans="1:17" s="63" customFormat="1" ht="12">
      <c r="A235" s="39"/>
      <c r="B235" s="39"/>
      <c r="C235" s="39"/>
      <c r="D235" s="39"/>
      <c r="E235" s="2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1:5" s="63" customFormat="1" ht="15" customHeight="1">
      <c r="A236" s="75" t="s">
        <v>268</v>
      </c>
      <c r="B236" s="75"/>
      <c r="C236" s="73"/>
      <c r="D236" s="73"/>
      <c r="E236" s="74"/>
    </row>
    <row r="237" spans="1:17" s="63" customFormat="1" ht="1.5" customHeight="1">
      <c r="A237" s="75"/>
      <c r="B237" s="75"/>
      <c r="C237" s="75"/>
      <c r="D237" s="72"/>
      <c r="E237" s="76"/>
      <c r="F237" s="38"/>
      <c r="G237" s="38"/>
      <c r="H237" s="38"/>
      <c r="J237" s="38"/>
      <c r="K237" s="38"/>
      <c r="L237" s="38"/>
      <c r="M237" s="38"/>
      <c r="N237" s="38"/>
      <c r="O237" s="38"/>
      <c r="P237" s="38"/>
      <c r="Q237" s="38"/>
    </row>
    <row r="238" spans="1:10" s="63" customFormat="1" ht="35.25" customHeight="1">
      <c r="A238" s="219" t="s">
        <v>269</v>
      </c>
      <c r="B238" s="75"/>
      <c r="C238" s="75"/>
      <c r="D238" s="75"/>
      <c r="E238" s="77"/>
      <c r="F238" s="39"/>
      <c r="G238" s="39"/>
      <c r="H238" s="39"/>
      <c r="J238" s="38"/>
    </row>
    <row r="239" spans="1:10" s="63" customFormat="1" ht="15.75">
      <c r="A239" s="75" t="s">
        <v>381</v>
      </c>
      <c r="B239" s="75"/>
      <c r="C239" s="75"/>
      <c r="D239" s="75"/>
      <c r="E239" s="77"/>
      <c r="F239" s="39"/>
      <c r="G239" s="39"/>
      <c r="H239" s="39"/>
      <c r="J239" s="38"/>
    </row>
    <row r="240" spans="1:10" s="63" customFormat="1" ht="15.75">
      <c r="A240" s="75" t="s">
        <v>382</v>
      </c>
      <c r="B240" s="75"/>
      <c r="C240" s="75"/>
      <c r="D240" s="75"/>
      <c r="E240" s="77"/>
      <c r="F240" s="39"/>
      <c r="G240" s="39"/>
      <c r="H240" s="39"/>
      <c r="J240" s="38"/>
    </row>
    <row r="241" spans="1:10" s="63" customFormat="1" ht="24.75" customHeight="1">
      <c r="A241" s="75"/>
      <c r="B241" s="75"/>
      <c r="C241" s="75"/>
      <c r="D241" s="75"/>
      <c r="E241" s="77"/>
      <c r="F241" s="39"/>
      <c r="G241" s="39"/>
      <c r="H241" s="39"/>
      <c r="J241" s="38"/>
    </row>
    <row r="242" spans="1:10" s="63" customFormat="1" ht="15.75">
      <c r="A242" s="75" t="s">
        <v>383</v>
      </c>
      <c r="B242" s="75"/>
      <c r="C242" s="75"/>
      <c r="D242" s="75"/>
      <c r="E242" s="77"/>
      <c r="F242" s="39"/>
      <c r="G242" s="39"/>
      <c r="H242" s="39"/>
      <c r="J242" s="38"/>
    </row>
    <row r="243" spans="1:15" s="63" customFormat="1" ht="15" customHeight="1">
      <c r="A243" s="75"/>
      <c r="B243" s="75"/>
      <c r="C243" s="75"/>
      <c r="D243" s="75"/>
      <c r="E243" s="77"/>
      <c r="F243" s="39"/>
      <c r="G243" s="39"/>
      <c r="H243" s="39"/>
      <c r="J243" s="38"/>
      <c r="O243" s="235"/>
    </row>
    <row r="244" spans="1:15" s="63" customFormat="1" ht="15" customHeight="1">
      <c r="A244" s="75" t="s">
        <v>269</v>
      </c>
      <c r="B244" s="75"/>
      <c r="C244" s="75"/>
      <c r="D244" s="75"/>
      <c r="E244" s="77"/>
      <c r="F244" s="39"/>
      <c r="G244" s="39"/>
      <c r="H244" s="39"/>
      <c r="J244" s="38"/>
      <c r="O244" s="235"/>
    </row>
    <row r="245" spans="1:10" s="63" customFormat="1" ht="15" customHeight="1">
      <c r="A245" s="75" t="s">
        <v>384</v>
      </c>
      <c r="B245" s="75"/>
      <c r="C245" s="75"/>
      <c r="D245" s="75"/>
      <c r="E245" s="77"/>
      <c r="F245" s="39"/>
      <c r="G245" s="39"/>
      <c r="H245" s="39"/>
      <c r="J245" s="38"/>
    </row>
    <row r="246" spans="1:10" s="63" customFormat="1" ht="15.75">
      <c r="A246" s="75"/>
      <c r="B246" s="75"/>
      <c r="C246" s="75"/>
      <c r="D246" s="75"/>
      <c r="E246" s="77"/>
      <c r="F246" s="39"/>
      <c r="G246" s="39"/>
      <c r="H246" s="39"/>
      <c r="J246" s="38"/>
    </row>
    <row r="247" spans="1:10" s="63" customFormat="1" ht="15.75">
      <c r="A247" s="75"/>
      <c r="B247" s="75"/>
      <c r="C247" s="75"/>
      <c r="D247" s="75"/>
      <c r="E247" s="77"/>
      <c r="F247" s="39"/>
      <c r="G247" s="39"/>
      <c r="H247" s="39"/>
      <c r="J247" s="38"/>
    </row>
    <row r="248" spans="1:10" s="63" customFormat="1" ht="15.75">
      <c r="A248" s="75"/>
      <c r="B248" s="75"/>
      <c r="C248" s="75"/>
      <c r="D248" s="75"/>
      <c r="E248" s="77"/>
      <c r="F248" s="39"/>
      <c r="G248" s="39"/>
      <c r="H248" s="39"/>
      <c r="J248" s="38"/>
    </row>
    <row r="249" spans="1:10" s="63" customFormat="1" ht="15.75">
      <c r="A249" s="75"/>
      <c r="B249" s="75"/>
      <c r="C249" s="75"/>
      <c r="D249" s="75"/>
      <c r="E249" s="77"/>
      <c r="F249" s="39"/>
      <c r="G249" s="39"/>
      <c r="H249" s="39"/>
      <c r="J249" s="38"/>
    </row>
    <row r="250" spans="1:10" s="63" customFormat="1" ht="15.75">
      <c r="A250" s="75"/>
      <c r="B250" s="75"/>
      <c r="C250" s="75"/>
      <c r="D250" s="75"/>
      <c r="E250" s="77"/>
      <c r="F250" s="39"/>
      <c r="G250" s="39"/>
      <c r="H250" s="39"/>
      <c r="J250" s="38"/>
    </row>
    <row r="251" spans="1:10" s="63" customFormat="1" ht="15.75">
      <c r="A251" s="75"/>
      <c r="B251" s="75"/>
      <c r="C251" s="75"/>
      <c r="D251" s="75"/>
      <c r="E251" s="77"/>
      <c r="F251" s="39"/>
      <c r="G251" s="39"/>
      <c r="H251" s="39"/>
      <c r="J251" s="38"/>
    </row>
    <row r="252" spans="1:10" s="63" customFormat="1" ht="15.75">
      <c r="A252" s="75"/>
      <c r="B252" s="75"/>
      <c r="C252" s="75"/>
      <c r="D252" s="75"/>
      <c r="E252" s="77"/>
      <c r="F252" s="39"/>
      <c r="G252" s="39"/>
      <c r="H252" s="39"/>
      <c r="J252" s="38"/>
    </row>
    <row r="253" spans="1:10" s="63" customFormat="1" ht="15.75">
      <c r="A253" s="75"/>
      <c r="B253" s="75"/>
      <c r="C253" s="75"/>
      <c r="D253" s="75"/>
      <c r="E253" s="77"/>
      <c r="F253" s="39"/>
      <c r="G253" s="39"/>
      <c r="H253" s="39"/>
      <c r="J253" s="38"/>
    </row>
  </sheetData>
  <sheetProtection/>
  <mergeCells count="78">
    <mergeCell ref="D219:E219"/>
    <mergeCell ref="A231:E231"/>
    <mergeCell ref="D159:E159"/>
    <mergeCell ref="D206:E206"/>
    <mergeCell ref="D208:E208"/>
    <mergeCell ref="D210:E210"/>
    <mergeCell ref="D212:E212"/>
    <mergeCell ref="D217:E217"/>
    <mergeCell ref="D90:E90"/>
    <mergeCell ref="D98:E98"/>
    <mergeCell ref="B104:B106"/>
    <mergeCell ref="D121:E121"/>
    <mergeCell ref="D129:E129"/>
    <mergeCell ref="B131:B139"/>
    <mergeCell ref="D61:E61"/>
    <mergeCell ref="B63:B64"/>
    <mergeCell ref="B66:B69"/>
    <mergeCell ref="B71:B73"/>
    <mergeCell ref="B76:B81"/>
    <mergeCell ref="B84:B87"/>
    <mergeCell ref="A46:A47"/>
    <mergeCell ref="D53:E53"/>
    <mergeCell ref="A54:A55"/>
    <mergeCell ref="B54:B55"/>
    <mergeCell ref="D57:E57"/>
    <mergeCell ref="D60:E60"/>
    <mergeCell ref="A34:E34"/>
    <mergeCell ref="D35:E35"/>
    <mergeCell ref="D36:E36"/>
    <mergeCell ref="D38:E38"/>
    <mergeCell ref="D42:E42"/>
    <mergeCell ref="D44:E44"/>
    <mergeCell ref="P31:P32"/>
    <mergeCell ref="Q31:Q32"/>
    <mergeCell ref="F30:K30"/>
    <mergeCell ref="L30:Q30"/>
    <mergeCell ref="F31:F32"/>
    <mergeCell ref="G31:I31"/>
    <mergeCell ref="J31:J32"/>
    <mergeCell ref="K31:K32"/>
    <mergeCell ref="L31:L32"/>
    <mergeCell ref="M31:O31"/>
    <mergeCell ref="D25:E25"/>
    <mergeCell ref="D26:E26"/>
    <mergeCell ref="A27:E27"/>
    <mergeCell ref="A30:A32"/>
    <mergeCell ref="B30:B32"/>
    <mergeCell ref="C30:C32"/>
    <mergeCell ref="D30:D32"/>
    <mergeCell ref="E30:E32"/>
    <mergeCell ref="D18:E18"/>
    <mergeCell ref="A19:A20"/>
    <mergeCell ref="B19:B20"/>
    <mergeCell ref="C19:C20"/>
    <mergeCell ref="D21:E21"/>
    <mergeCell ref="D24:E24"/>
    <mergeCell ref="D11:E11"/>
    <mergeCell ref="D13:E13"/>
    <mergeCell ref="A14:A15"/>
    <mergeCell ref="B14:B15"/>
    <mergeCell ref="C14:C15"/>
    <mergeCell ref="D16:E16"/>
    <mergeCell ref="Q7:Q8"/>
    <mergeCell ref="D10:E10"/>
    <mergeCell ref="L6:Q6"/>
    <mergeCell ref="F7:F8"/>
    <mergeCell ref="G7:I7"/>
    <mergeCell ref="J7:J8"/>
    <mergeCell ref="K7:K8"/>
    <mergeCell ref="L7:L8"/>
    <mergeCell ref="M7:O7"/>
    <mergeCell ref="P7:P8"/>
    <mergeCell ref="A6:A8"/>
    <mergeCell ref="B6:B8"/>
    <mergeCell ref="C6:C8"/>
    <mergeCell ref="D6:D8"/>
    <mergeCell ref="E6:E8"/>
    <mergeCell ref="F6:K6"/>
  </mergeCells>
  <dataValidations count="4">
    <dataValidation type="whole" allowBlank="1" showErrorMessage="1" errorTitle="Upozorenje" error="Niste uneli korektnu vrednost!&#10;Ponovite unos." sqref="J231:J233 P231">
      <formula1>0</formula1>
      <formula2>9999999999999</formula2>
    </dataValidation>
    <dataValidation allowBlank="1" showErrorMessage="1" errorTitle="Upozorenje" error="Niste uneli korektnu vrednost!&#10;Ponovite unos." sqref="G234:K234 L231 F231:F234 M45:M230 G45:G230 J18 G34 G30:G32 G6:G8 H18 G10:G20 J116 J109 J38 J36 H36 G36:G43 H88 J88 H99 J99 M6:M20 M22:M26 P18 N18 M30:M33 P116 P109 P38 P36 N36 M36:M43 N88 P88 N99 P99 G22:G26"/>
    <dataValidation type="whole" allowBlank="1" showErrorMessage="1" errorTitle="Upozorenje" error="Niste uneli korektnu vrednost!&#10;Ponovite unos." sqref="N182 P182 H182 J182">
      <formula1>0</formula1>
      <formula2>999999999999</formula2>
    </dataValidation>
    <dataValidation type="whole" allowBlank="1" showErrorMessage="1" errorTitle="Upozorenje" error="Niste uneli korektnu vrednost!&#10;Ponovite unos." sqref="P185 N159:N160 P168 N176 P176:P177 P188 J185 H159:H160 J168 H176 J176:J177 J188 P84:P87 P63:P82 H24:H26 J24:J26 L42:L183 J145:J166 I140 J107 J129:J130 J121:J122 J119 J127 H121:H122 J141:J142 H101 H103 J103 J101 H107 H142 J35 J37 J39:J53 F35:F37 J89:J90 H83 H75 J60:J61 H65 H70 J55 J57:J58 H53 J63:J87 H60:H61 H90 J98 F42:F183 L24:L26 N24:N26 P24:P26 P145:P166 O140 P107 P121:P122 P119 P127 N121:N122 F24:F26 N101 N103 P103 P101 N107 N142 P35 P37 P39:P53 L35:L37 P89:P90 N83 N75 P60:P61 N65 N70 P55 P57:P58 N53 N60:N61 N90 P98 P130">
      <formula1>0</formula1>
      <formula2>999999999</formula2>
    </dataValidation>
  </dataValidations>
  <printOptions/>
  <pageMargins left="0.15" right="0.25" top="0.25" bottom="0.25" header="0.33" footer="0.3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2015-01-17T13:06:19Z</cp:lastPrinted>
  <dcterms:created xsi:type="dcterms:W3CDTF">2006-09-16T00:00:00Z</dcterms:created>
  <dcterms:modified xsi:type="dcterms:W3CDTF">2017-09-26T06:19:39Z</dcterms:modified>
  <cp:category/>
  <cp:version/>
  <cp:contentType/>
  <cp:contentStatus/>
</cp:coreProperties>
</file>